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ckle Cell Ghana\Downloads\"/>
    </mc:Choice>
  </mc:AlternateContent>
  <xr:revisionPtr revIDLastSave="0" documentId="13_ncr:1_{BDDAF98F-4AEA-4D78-8E12-CFA6E34D7F5E}" xr6:coauthVersionLast="47" xr6:coauthVersionMax="47" xr10:uidLastSave="{00000000-0000-0000-0000-000000000000}"/>
  <bookViews>
    <workbookView xWindow="-110" yWindow="-110" windowWidth="20700" windowHeight="11740" xr2:uid="{00000000-000D-0000-FFFF-FFFF00000000}"/>
  </bookViews>
  <sheets>
    <sheet name="NBS Results 1995-2022 June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R30" i="1"/>
  <c r="E30" i="1" s="1"/>
  <c r="S30" i="1"/>
  <c r="C32" i="1"/>
  <c r="L32" i="1"/>
  <c r="N32" i="1"/>
  <c r="O32" i="1"/>
  <c r="P32" i="1"/>
  <c r="Q32" i="1"/>
  <c r="B32" i="1"/>
  <c r="S29" i="1"/>
  <c r="T29" i="1" s="1"/>
  <c r="R29" i="1"/>
  <c r="AB43" i="1" s="1"/>
  <c r="D25" i="1"/>
  <c r="AB36" i="1" l="1"/>
  <c r="AC37" i="1"/>
  <c r="AC38" i="1"/>
  <c r="AC39" i="1"/>
  <c r="AC40" i="1"/>
  <c r="AC41" i="1"/>
  <c r="AC42" i="1"/>
  <c r="T30" i="1"/>
  <c r="AC43" i="1"/>
  <c r="AC36" i="1"/>
  <c r="F30" i="1"/>
  <c r="AB38" i="1"/>
  <c r="AB40" i="1"/>
  <c r="AB50" i="1" s="1"/>
  <c r="AB42" i="1"/>
  <c r="AB37" i="1"/>
  <c r="AB39" i="1"/>
  <c r="AB41" i="1"/>
  <c r="D29" i="1"/>
  <c r="E29" i="1" s="1"/>
  <c r="F29" i="1" s="1"/>
  <c r="AC50" i="1" l="1"/>
  <c r="S28" i="1"/>
  <c r="S26" i="1"/>
  <c r="R28" i="1"/>
  <c r="D28" i="1"/>
  <c r="AA41" i="1" l="1"/>
  <c r="AA39" i="1"/>
  <c r="AA37" i="1"/>
  <c r="AA43" i="1"/>
  <c r="AA42" i="1"/>
  <c r="AA40" i="1"/>
  <c r="AA38" i="1"/>
  <c r="AA36" i="1"/>
  <c r="AA46" i="1"/>
  <c r="AA45" i="1"/>
  <c r="AA48" i="1"/>
  <c r="T28" i="1"/>
  <c r="E28" i="1"/>
  <c r="F28" i="1" s="1"/>
  <c r="AA50" i="1" l="1"/>
  <c r="R27" i="1" l="1"/>
  <c r="Z37" i="1" s="1"/>
  <c r="S27" i="1"/>
  <c r="Z48" i="1" l="1"/>
  <c r="Z41" i="1"/>
  <c r="T27" i="1"/>
  <c r="Z46" i="1"/>
  <c r="Z38" i="1"/>
  <c r="Z42" i="1"/>
  <c r="Z39" i="1"/>
  <c r="Z43" i="1"/>
  <c r="Z36" i="1"/>
  <c r="Z40" i="1"/>
  <c r="Z45" i="1"/>
  <c r="Z50" i="1" l="1"/>
  <c r="R25" i="1" l="1"/>
  <c r="S25" i="1"/>
  <c r="X48" i="1" l="1"/>
  <c r="X45" i="1"/>
  <c r="X42" i="1"/>
  <c r="X40" i="1"/>
  <c r="X38" i="1"/>
  <c r="X36" i="1"/>
  <c r="X46" i="1"/>
  <c r="X43" i="1"/>
  <c r="X41" i="1"/>
  <c r="X39" i="1"/>
  <c r="X37" i="1"/>
  <c r="T25" i="1"/>
  <c r="D27" i="1"/>
  <c r="E27" i="1" l="1"/>
  <c r="F27" i="1" s="1"/>
  <c r="B68" i="1"/>
  <c r="D5" i="1"/>
  <c r="F5" i="1" s="1"/>
  <c r="D8" i="1"/>
  <c r="F8" i="1" s="1"/>
  <c r="D10" i="1"/>
  <c r="F10" i="1" s="1"/>
  <c r="D18" i="1"/>
  <c r="F18" i="1" s="1"/>
  <c r="D4" i="1"/>
  <c r="F4" i="1" s="1"/>
  <c r="D6" i="1"/>
  <c r="F6" i="1" s="1"/>
  <c r="D7" i="1"/>
  <c r="F7" i="1" s="1"/>
  <c r="D9" i="1"/>
  <c r="F9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1" i="1"/>
  <c r="R22" i="1"/>
  <c r="R23" i="1"/>
  <c r="R24" i="1"/>
  <c r="R3" i="1"/>
  <c r="B69" i="1"/>
  <c r="W45" i="1" l="1"/>
  <c r="W48" i="1"/>
  <c r="U48" i="1"/>
  <c r="U45" i="1"/>
  <c r="F3" i="1"/>
  <c r="E25" i="1"/>
  <c r="S4" i="1"/>
  <c r="T4" i="1" s="1"/>
  <c r="S5" i="1"/>
  <c r="T5" i="1" s="1"/>
  <c r="S6" i="1"/>
  <c r="T6" i="1" s="1"/>
  <c r="S7" i="1"/>
  <c r="T7" i="1" s="1"/>
  <c r="S8" i="1"/>
  <c r="T8" i="1" s="1"/>
  <c r="S9" i="1"/>
  <c r="T9" i="1" s="1"/>
  <c r="S10" i="1"/>
  <c r="T10" i="1" s="1"/>
  <c r="S11" i="1"/>
  <c r="T11" i="1" s="1"/>
  <c r="S12" i="1"/>
  <c r="T12" i="1" s="1"/>
  <c r="S13" i="1"/>
  <c r="T13" i="1" s="1"/>
  <c r="S14" i="1"/>
  <c r="T14" i="1" s="1"/>
  <c r="S15" i="1"/>
  <c r="T15" i="1" s="1"/>
  <c r="S16" i="1"/>
  <c r="T16" i="1" s="1"/>
  <c r="S17" i="1"/>
  <c r="T17" i="1" s="1"/>
  <c r="S18" i="1"/>
  <c r="T18" i="1" s="1"/>
  <c r="S19" i="1"/>
  <c r="S21" i="1"/>
  <c r="S22" i="1"/>
  <c r="S23" i="1"/>
  <c r="S24" i="1"/>
  <c r="S3" i="1"/>
  <c r="F25" i="1" l="1"/>
  <c r="T24" i="1"/>
  <c r="T19" i="1"/>
  <c r="T21" i="1"/>
  <c r="T23" i="1"/>
  <c r="T22" i="1"/>
  <c r="T3" i="1"/>
  <c r="C43" i="1" l="1"/>
  <c r="B54" i="1"/>
  <c r="G20" i="1"/>
  <c r="G32" i="1" s="1"/>
  <c r="H20" i="1"/>
  <c r="H32" i="1" s="1"/>
  <c r="I20" i="1"/>
  <c r="I32" i="1" s="1"/>
  <c r="J20" i="1"/>
  <c r="J32" i="1" s="1"/>
  <c r="K20" i="1"/>
  <c r="K32" i="1" s="1"/>
  <c r="M20" i="1"/>
  <c r="M32" i="1" s="1"/>
  <c r="B65" i="1"/>
  <c r="B67" i="1"/>
  <c r="W46" i="1"/>
  <c r="U36" i="1"/>
  <c r="V48" i="1"/>
  <c r="S43" i="1"/>
  <c r="S44" i="1"/>
  <c r="S46" i="1"/>
  <c r="S47" i="1"/>
  <c r="S48" i="1"/>
  <c r="S41" i="1"/>
  <c r="S42" i="1"/>
  <c r="S40" i="1"/>
  <c r="S39" i="1"/>
  <c r="S38" i="1"/>
  <c r="S37" i="1"/>
  <c r="S36" i="1"/>
  <c r="T49" i="1"/>
  <c r="T48" i="1"/>
  <c r="T47" i="1"/>
  <c r="T46" i="1"/>
  <c r="T44" i="1"/>
  <c r="T43" i="1"/>
  <c r="T41" i="1"/>
  <c r="T42" i="1"/>
  <c r="T40" i="1"/>
  <c r="T39" i="1"/>
  <c r="T38" i="1"/>
  <c r="T37" i="1"/>
  <c r="T36" i="1"/>
  <c r="R48" i="1"/>
  <c r="R47" i="1"/>
  <c r="R46" i="1"/>
  <c r="R44" i="1"/>
  <c r="R43" i="1"/>
  <c r="R41" i="1"/>
  <c r="R42" i="1"/>
  <c r="R40" i="1"/>
  <c r="R39" i="1"/>
  <c r="R38" i="1"/>
  <c r="R37" i="1"/>
  <c r="R36" i="1"/>
  <c r="Q48" i="1"/>
  <c r="Q47" i="1"/>
  <c r="Q46" i="1"/>
  <c r="Q43" i="1"/>
  <c r="Q41" i="1"/>
  <c r="Q42" i="1"/>
  <c r="Q40" i="1"/>
  <c r="Q39" i="1"/>
  <c r="Q38" i="1"/>
  <c r="Q37" i="1"/>
  <c r="Q36" i="1"/>
  <c r="P48" i="1"/>
  <c r="P47" i="1"/>
  <c r="P46" i="1"/>
  <c r="P43" i="1"/>
  <c r="P41" i="1"/>
  <c r="P42" i="1"/>
  <c r="P40" i="1"/>
  <c r="P39" i="1"/>
  <c r="P38" i="1"/>
  <c r="P37" i="1"/>
  <c r="P36" i="1"/>
  <c r="O48" i="1"/>
  <c r="O47" i="1"/>
  <c r="O46" i="1"/>
  <c r="O43" i="1"/>
  <c r="O41" i="1"/>
  <c r="O42" i="1"/>
  <c r="O40" i="1"/>
  <c r="O39" i="1"/>
  <c r="O38" i="1"/>
  <c r="O37" i="1"/>
  <c r="O36" i="1"/>
  <c r="N39" i="1"/>
  <c r="N38" i="1"/>
  <c r="N37" i="1"/>
  <c r="N48" i="1"/>
  <c r="N47" i="1"/>
  <c r="N46" i="1"/>
  <c r="N43" i="1"/>
  <c r="N41" i="1"/>
  <c r="N42" i="1"/>
  <c r="N40" i="1"/>
  <c r="N36" i="1"/>
  <c r="M48" i="1"/>
  <c r="M47" i="1"/>
  <c r="M46" i="1"/>
  <c r="M43" i="1"/>
  <c r="M41" i="1"/>
  <c r="M42" i="1"/>
  <c r="M40" i="1"/>
  <c r="M39" i="1"/>
  <c r="M38" i="1"/>
  <c r="M37" i="1"/>
  <c r="M36" i="1"/>
  <c r="L48" i="1"/>
  <c r="L47" i="1"/>
  <c r="L46" i="1"/>
  <c r="L42" i="1"/>
  <c r="L40" i="1"/>
  <c r="L39" i="1"/>
  <c r="L38" i="1"/>
  <c r="L37" i="1"/>
  <c r="L36" i="1"/>
  <c r="K48" i="1"/>
  <c r="K47" i="1"/>
  <c r="K46" i="1"/>
  <c r="K42" i="1"/>
  <c r="K40" i="1"/>
  <c r="K39" i="1"/>
  <c r="K38" i="1"/>
  <c r="K37" i="1"/>
  <c r="K36" i="1"/>
  <c r="J48" i="1"/>
  <c r="J47" i="1"/>
  <c r="J46" i="1"/>
  <c r="J43" i="1"/>
  <c r="J42" i="1"/>
  <c r="J40" i="1"/>
  <c r="J39" i="1"/>
  <c r="J38" i="1"/>
  <c r="J37" i="1"/>
  <c r="J36" i="1"/>
  <c r="I48" i="1"/>
  <c r="I47" i="1"/>
  <c r="I46" i="1"/>
  <c r="I43" i="1"/>
  <c r="I42" i="1"/>
  <c r="I40" i="1"/>
  <c r="I39" i="1"/>
  <c r="I38" i="1"/>
  <c r="I37" i="1"/>
  <c r="I36" i="1"/>
  <c r="H47" i="1"/>
  <c r="H42" i="1"/>
  <c r="H40" i="1"/>
  <c r="H39" i="1"/>
  <c r="H38" i="1"/>
  <c r="H37" i="1"/>
  <c r="H36" i="1"/>
  <c r="G47" i="1"/>
  <c r="G43" i="1"/>
  <c r="G42" i="1"/>
  <c r="G40" i="1"/>
  <c r="G39" i="1"/>
  <c r="G38" i="1"/>
  <c r="G37" i="1"/>
  <c r="G36" i="1"/>
  <c r="F48" i="1"/>
  <c r="F47" i="1"/>
  <c r="F43" i="1"/>
  <c r="F41" i="1"/>
  <c r="F42" i="1"/>
  <c r="F40" i="1"/>
  <c r="F39" i="1"/>
  <c r="F38" i="1"/>
  <c r="F37" i="1"/>
  <c r="F36" i="1"/>
  <c r="E47" i="1"/>
  <c r="E43" i="1"/>
  <c r="E41" i="1"/>
  <c r="E42" i="1"/>
  <c r="E40" i="1"/>
  <c r="E39" i="1"/>
  <c r="E38" i="1"/>
  <c r="E37" i="1"/>
  <c r="E36" i="1"/>
  <c r="D47" i="1"/>
  <c r="D43" i="1"/>
  <c r="D41" i="1"/>
  <c r="D42" i="1"/>
  <c r="D40" i="1"/>
  <c r="D39" i="1"/>
  <c r="D38" i="1"/>
  <c r="D37" i="1"/>
  <c r="D36" i="1"/>
  <c r="B47" i="1"/>
  <c r="B42" i="1"/>
  <c r="B40" i="1"/>
  <c r="B39" i="1"/>
  <c r="B38" i="1"/>
  <c r="B37" i="1"/>
  <c r="B36" i="1"/>
  <c r="W43" i="1"/>
  <c r="W39" i="1"/>
  <c r="W41" i="1"/>
  <c r="W42" i="1"/>
  <c r="U40" i="1"/>
  <c r="U43" i="1"/>
  <c r="V38" i="1"/>
  <c r="B64" i="1" l="1"/>
  <c r="B66" i="1"/>
  <c r="B61" i="1"/>
  <c r="R20" i="1"/>
  <c r="U38" i="1"/>
  <c r="W40" i="1"/>
  <c r="W37" i="1"/>
  <c r="W36" i="1"/>
  <c r="U42" i="1"/>
  <c r="W47" i="1"/>
  <c r="W38" i="1"/>
  <c r="G50" i="1"/>
  <c r="H50" i="1"/>
  <c r="M50" i="1"/>
  <c r="N50" i="1"/>
  <c r="P50" i="1"/>
  <c r="Q50" i="1"/>
  <c r="S50" i="1"/>
  <c r="K50" i="1"/>
  <c r="R50" i="1"/>
  <c r="F50" i="1"/>
  <c r="I50" i="1"/>
  <c r="B63" i="1"/>
  <c r="S20" i="1"/>
  <c r="S32" i="1" s="1"/>
  <c r="U39" i="1"/>
  <c r="V46" i="1"/>
  <c r="O50" i="1"/>
  <c r="U47" i="1"/>
  <c r="V36" i="1"/>
  <c r="B50" i="1"/>
  <c r="E50" i="1"/>
  <c r="C38" i="1"/>
  <c r="V40" i="1"/>
  <c r="V43" i="1"/>
  <c r="U46" i="1"/>
  <c r="C41" i="1"/>
  <c r="L50" i="1"/>
  <c r="V39" i="1"/>
  <c r="U37" i="1"/>
  <c r="V47" i="1"/>
  <c r="D50" i="1"/>
  <c r="V41" i="1"/>
  <c r="V42" i="1"/>
  <c r="J50" i="1"/>
  <c r="T50" i="1"/>
  <c r="C46" i="1"/>
  <c r="C37" i="1"/>
  <c r="C47" i="1"/>
  <c r="U41" i="1"/>
  <c r="V37" i="1"/>
  <c r="C39" i="1"/>
  <c r="C40" i="1"/>
  <c r="C42" i="1"/>
  <c r="C44" i="1"/>
  <c r="C36" i="1"/>
  <c r="T20" i="1" l="1"/>
  <c r="W50" i="1"/>
  <c r="V50" i="1"/>
  <c r="U50" i="1"/>
  <c r="X50" i="1"/>
  <c r="C50" i="1"/>
  <c r="D26" i="1" l="1"/>
  <c r="D32" i="1" s="1"/>
  <c r="B53" i="1"/>
  <c r="B55" i="1" l="1"/>
  <c r="B62" i="1" l="1"/>
  <c r="B60" i="1"/>
  <c r="R26" i="1"/>
  <c r="R32" i="1" s="1"/>
  <c r="T32" i="1" s="1"/>
  <c r="Y48" i="1" l="1"/>
  <c r="Y38" i="1"/>
  <c r="Y43" i="1"/>
  <c r="Y36" i="1"/>
  <c r="Y39" i="1"/>
  <c r="Y40" i="1"/>
  <c r="Y45" i="1"/>
  <c r="B70" i="1"/>
  <c r="E26" i="1"/>
  <c r="E32" i="1" s="1"/>
  <c r="Y41" i="1"/>
  <c r="Y46" i="1"/>
  <c r="Y37" i="1"/>
  <c r="T26" i="1"/>
  <c r="Y42" i="1"/>
  <c r="Y50" i="1" l="1"/>
  <c r="C64" i="1"/>
  <c r="C66" i="1"/>
  <c r="C61" i="1"/>
  <c r="C69" i="1"/>
  <c r="C63" i="1"/>
  <c r="C67" i="1"/>
  <c r="C65" i="1"/>
  <c r="C68" i="1"/>
  <c r="C62" i="1"/>
  <c r="C60" i="1"/>
  <c r="F26" i="1"/>
  <c r="B56" i="1"/>
  <c r="F32" i="1" l="1"/>
  <c r="B57" i="1" s="1"/>
  <c r="C70" i="1"/>
</calcChain>
</file>

<file path=xl/sharedStrings.xml><?xml version="1.0" encoding="utf-8"?>
<sst xmlns="http://schemas.openxmlformats.org/spreadsheetml/2006/main" count="72" uniqueCount="54">
  <si>
    <t>Other values not listed</t>
  </si>
  <si>
    <t>Totals</t>
  </si>
  <si>
    <t>Phenotype</t>
  </si>
  <si>
    <t>Number</t>
  </si>
  <si>
    <t>Percentage</t>
  </si>
  <si>
    <t>No Blood Sample</t>
  </si>
  <si>
    <t>Awaiting Results</t>
  </si>
  <si>
    <t xml:space="preserve">SCD </t>
  </si>
  <si>
    <t>SCD</t>
  </si>
  <si>
    <t>Samples with No Blood on Filter Paper</t>
  </si>
  <si>
    <t>Samples with Results</t>
  </si>
  <si>
    <t>Total No. Samples Forms with blood</t>
  </si>
  <si>
    <t>Total with Results</t>
  </si>
  <si>
    <t xml:space="preserve">Unprocessed samples -  Awaiting Results </t>
  </si>
  <si>
    <t>Notes</t>
  </si>
  <si>
    <t>Total No. Sample Forms submitted to lab</t>
  </si>
  <si>
    <t>FAX/FXY (should be separated)</t>
  </si>
  <si>
    <t>Year (Birth Year or Lab Submission Year?)</t>
  </si>
  <si>
    <t>Number of samples shipped  from Screening Sites to Lab (Data summarized from site data)</t>
  </si>
  <si>
    <t>Number of samples received at Noguchi (Data summarized  from Noguchi lab)</t>
  </si>
  <si>
    <t>Number of samples rejected by lab (Weekly report to Screening Coordinator for site action)</t>
  </si>
  <si>
    <t>Number of samples acceptable for processing</t>
  </si>
  <si>
    <t>Other phenotypes not listed</t>
  </si>
  <si>
    <t>Number of acceptable samples waiting to be analyzed. (This should be checked everytime a summary is being prepared. No sample remains permanently as "waiting for results")</t>
  </si>
  <si>
    <t>FAS/ FASB/ AFS/ ASF/ AS</t>
  </si>
  <si>
    <t>FAC/ FACB/ AFC/ ACF/ AC</t>
  </si>
  <si>
    <t>FS/ FSB/ SF/ S</t>
  </si>
  <si>
    <t xml:space="preserve"> FSC/ FSCB/ SFC/ SCF/ SC</t>
  </si>
  <si>
    <t>FSA/ FSAB/ SFA/SAF/SA</t>
  </si>
  <si>
    <t>FC/ FCB/ CF/ C</t>
  </si>
  <si>
    <t>F/FB</t>
  </si>
  <si>
    <t>FA/ FAB/ AF/ A</t>
  </si>
  <si>
    <t>FSC/ FSCB/ SFC/ SCF/ SC</t>
  </si>
  <si>
    <t>Number of samples with unreadable results (Need to be repeated with another punch; if problem persists, reequest second sample)</t>
  </si>
  <si>
    <t>Number of samples with results (This number should equal total number in Hb phenotype analysis)</t>
  </si>
  <si>
    <t>NEWBORN SCREENING RESULTS TABULATION</t>
  </si>
  <si>
    <t>Record of date of Results Analysis and period of data for the report.</t>
  </si>
  <si>
    <r>
      <t xml:space="preserve">Total No. Samples Forms </t>
    </r>
    <r>
      <rPr>
        <b/>
        <sz val="11"/>
        <color rgb="FFFF0000"/>
        <rFont val="Calibri"/>
        <family val="2"/>
        <scheme val="minor"/>
      </rPr>
      <t>submitted to lab</t>
    </r>
  </si>
  <si>
    <t>TOTALS YEAR</t>
  </si>
  <si>
    <t xml:space="preserve">FAX/ FAXB  </t>
  </si>
  <si>
    <t xml:space="preserve"> FXY/ FXYB </t>
  </si>
  <si>
    <t>FAS/ AFS/ ASF/ AS</t>
  </si>
  <si>
    <t xml:space="preserve">FAB/FASB </t>
  </si>
  <si>
    <t>FXY</t>
  </si>
  <si>
    <t>FAX</t>
  </si>
  <si>
    <t>SCD%</t>
  </si>
  <si>
    <t>Samples with No Blood on Filter Paper/ No Elution</t>
  </si>
  <si>
    <t>-</t>
  </si>
  <si>
    <t xml:space="preserve">% TOTALS </t>
  </si>
  <si>
    <t>Hb Phenotype Group</t>
  </si>
  <si>
    <t>Date (May-10-2023) of Results Analysis:</t>
  </si>
  <si>
    <t>Summary of Results of Newborn Screening for Sickle Cell Disease Conducted from 13/2/95 – 31/12/2022</t>
  </si>
  <si>
    <t>Proportions of the Various Hb Phenotype Groups of the Test Results from 1995 to 2022</t>
  </si>
  <si>
    <t>Results of Newborn Screening from Feb 13 1995 to December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</si>
</sst>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_);\(0\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1" applyFont="1" applyProtection="1">
      <protection locked="0"/>
    </xf>
    <xf numFmtId="164" fontId="2" fillId="0" borderId="0" xfId="1" applyFont="1" applyProtection="1"/>
    <xf numFmtId="164" fontId="0" fillId="0" borderId="0" xfId="1" applyFont="1" applyAlignment="1" applyProtection="1">
      <alignment wrapText="1"/>
      <protection locked="0"/>
    </xf>
    <xf numFmtId="164" fontId="0" fillId="0" borderId="0" xfId="1" applyFont="1" applyAlignment="1" applyProtection="1">
      <alignment wrapText="1"/>
    </xf>
    <xf numFmtId="164" fontId="0" fillId="0" borderId="1" xfId="1" applyFont="1" applyBorder="1"/>
    <xf numFmtId="164" fontId="0" fillId="0" borderId="0" xfId="1" applyFont="1" applyProtection="1">
      <protection locked="0"/>
    </xf>
    <xf numFmtId="164" fontId="0" fillId="0" borderId="0" xfId="1" applyFont="1" applyProtection="1"/>
    <xf numFmtId="164" fontId="0" fillId="0" borderId="0" xfId="1" applyFont="1"/>
    <xf numFmtId="164" fontId="0" fillId="0" borderId="0" xfId="1" applyFont="1" applyFill="1" applyProtection="1">
      <protection locked="0"/>
    </xf>
    <xf numFmtId="164" fontId="0" fillId="0" borderId="0" xfId="1" applyFont="1" applyFill="1" applyProtection="1"/>
    <xf numFmtId="164" fontId="0" fillId="0" borderId="1" xfId="1" applyFont="1" applyBorder="1" applyAlignment="1" applyProtection="1">
      <alignment vertical="center"/>
      <protection locked="0"/>
    </xf>
    <xf numFmtId="164" fontId="0" fillId="0" borderId="0" xfId="1" applyFont="1" applyAlignment="1" applyProtection="1">
      <alignment vertical="center"/>
      <protection locked="0"/>
    </xf>
    <xf numFmtId="164" fontId="0" fillId="0" borderId="0" xfId="1" applyFont="1" applyAlignment="1" applyProtection="1">
      <alignment vertical="center"/>
    </xf>
    <xf numFmtId="164" fontId="8" fillId="0" borderId="0" xfId="1" applyFont="1" applyAlignment="1" applyProtection="1">
      <alignment horizontal="center" vertical="center"/>
      <protection locked="0"/>
    </xf>
    <xf numFmtId="164" fontId="0" fillId="0" borderId="3" xfId="1" applyFont="1" applyBorder="1" applyProtection="1"/>
    <xf numFmtId="164" fontId="0" fillId="0" borderId="8" xfId="1" applyFont="1" applyBorder="1" applyProtection="1"/>
    <xf numFmtId="164" fontId="0" fillId="0" borderId="1" xfId="1" applyFont="1" applyBorder="1" applyProtection="1"/>
    <xf numFmtId="164" fontId="0" fillId="0" borderId="2" xfId="1" applyFont="1" applyBorder="1" applyProtection="1"/>
    <xf numFmtId="164" fontId="4" fillId="0" borderId="2" xfId="1" applyFont="1" applyBorder="1" applyProtection="1"/>
    <xf numFmtId="164" fontId="0" fillId="0" borderId="0" xfId="1" applyFont="1" applyFill="1" applyBorder="1" applyProtection="1"/>
    <xf numFmtId="164" fontId="0" fillId="0" borderId="0" xfId="1" applyFont="1" applyBorder="1" applyProtection="1"/>
    <xf numFmtId="165" fontId="2" fillId="0" borderId="0" xfId="1" applyNumberFormat="1" applyFont="1" applyProtection="1">
      <protection locked="0"/>
    </xf>
    <xf numFmtId="165" fontId="0" fillId="0" borderId="3" xfId="1" applyNumberFormat="1" applyFont="1" applyBorder="1" applyProtection="1">
      <protection locked="0"/>
    </xf>
    <xf numFmtId="165" fontId="3" fillId="0" borderId="3" xfId="1" applyNumberFormat="1" applyFont="1" applyBorder="1" applyProtection="1">
      <protection locked="0"/>
    </xf>
    <xf numFmtId="165" fontId="0" fillId="2" borderId="3" xfId="1" applyNumberFormat="1" applyFont="1" applyFill="1" applyBorder="1" applyProtection="1">
      <protection locked="0"/>
    </xf>
    <xf numFmtId="165" fontId="0" fillId="0" borderId="1" xfId="1" applyNumberFormat="1" applyFont="1" applyBorder="1" applyProtection="1">
      <protection locked="0"/>
    </xf>
    <xf numFmtId="165" fontId="0" fillId="0" borderId="0" xfId="1" applyNumberFormat="1" applyFont="1" applyProtection="1"/>
    <xf numFmtId="165" fontId="0" fillId="0" borderId="0" xfId="1" applyNumberFormat="1" applyFont="1"/>
    <xf numFmtId="165" fontId="4" fillId="0" borderId="1" xfId="1" applyNumberFormat="1" applyFont="1" applyBorder="1" applyProtection="1">
      <protection locked="0"/>
    </xf>
    <xf numFmtId="165" fontId="0" fillId="0" borderId="18" xfId="1" applyNumberFormat="1" applyFont="1" applyFill="1" applyBorder="1" applyProtection="1">
      <protection locked="0"/>
    </xf>
    <xf numFmtId="165" fontId="3" fillId="0" borderId="1" xfId="1" applyNumberFormat="1" applyFont="1" applyFill="1" applyBorder="1" applyProtection="1">
      <protection locked="0"/>
    </xf>
    <xf numFmtId="165" fontId="0" fillId="0" borderId="1" xfId="1" applyNumberFormat="1" applyFont="1" applyBorder="1" applyAlignment="1" applyProtection="1">
      <alignment vertical="center"/>
    </xf>
    <xf numFmtId="165" fontId="0" fillId="0" borderId="1" xfId="1" applyNumberFormat="1" applyFont="1" applyBorder="1" applyAlignment="1" applyProtection="1">
      <alignment vertical="center"/>
      <protection locked="0"/>
    </xf>
    <xf numFmtId="165" fontId="7" fillId="0" borderId="1" xfId="1" applyNumberFormat="1" applyFont="1" applyBorder="1" applyAlignment="1" applyProtection="1">
      <alignment vertical="center" wrapText="1"/>
      <protection locked="0"/>
    </xf>
    <xf numFmtId="165" fontId="3" fillId="0" borderId="1" xfId="1" applyNumberFormat="1" applyFont="1" applyFill="1" applyBorder="1" applyAlignment="1" applyProtection="1">
      <alignment horizontal="right"/>
    </xf>
    <xf numFmtId="165" fontId="3" fillId="0" borderId="15" xfId="1" applyNumberFormat="1" applyFont="1" applyFill="1" applyBorder="1" applyAlignment="1" applyProtection="1">
      <alignment horizontal="right"/>
    </xf>
    <xf numFmtId="165" fontId="3" fillId="0" borderId="5" xfId="1" applyNumberFormat="1" applyFont="1" applyFill="1" applyBorder="1" applyAlignment="1" applyProtection="1">
      <alignment horizontal="right"/>
    </xf>
    <xf numFmtId="165" fontId="3" fillId="0" borderId="0" xfId="1" applyNumberFormat="1" applyFont="1" applyFill="1" applyBorder="1" applyAlignment="1" applyProtection="1">
      <alignment horizontal="right"/>
    </xf>
    <xf numFmtId="165" fontId="3" fillId="0" borderId="0" xfId="1" applyNumberFormat="1" applyFont="1" applyFill="1" applyBorder="1" applyAlignment="1" applyProtection="1">
      <alignment horizontal="center"/>
    </xf>
    <xf numFmtId="165" fontId="3" fillId="2" borderId="5" xfId="1" applyNumberFormat="1" applyFont="1" applyFill="1" applyBorder="1" applyAlignment="1" applyProtection="1">
      <alignment horizontal="center"/>
    </xf>
    <xf numFmtId="165" fontId="3" fillId="2" borderId="6" xfId="1" applyNumberFormat="1" applyFont="1" applyFill="1" applyBorder="1" applyAlignment="1" applyProtection="1">
      <alignment horizontal="center"/>
    </xf>
    <xf numFmtId="165" fontId="0" fillId="0" borderId="3" xfId="1" applyNumberFormat="1" applyFont="1" applyBorder="1" applyAlignment="1" applyProtection="1">
      <alignment horizontal="right" vertical="center"/>
    </xf>
    <xf numFmtId="165" fontId="0" fillId="0" borderId="1" xfId="1" applyNumberFormat="1" applyFont="1" applyBorder="1" applyAlignment="1" applyProtection="1">
      <alignment horizontal="right" vertical="center"/>
    </xf>
    <xf numFmtId="165" fontId="0" fillId="0" borderId="0" xfId="1" applyNumberFormat="1" applyFont="1" applyBorder="1" applyProtection="1"/>
    <xf numFmtId="1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1" fontId="0" fillId="3" borderId="3" xfId="1" applyNumberFormat="1" applyFont="1" applyFill="1" applyBorder="1" applyProtection="1">
      <protection locked="0"/>
    </xf>
    <xf numFmtId="1" fontId="0" fillId="3" borderId="1" xfId="1" applyNumberFormat="1" applyFont="1" applyFill="1" applyBorder="1" applyProtection="1">
      <protection locked="0"/>
    </xf>
    <xf numFmtId="1" fontId="3" fillId="3" borderId="1" xfId="1" applyNumberFormat="1" applyFont="1" applyFill="1" applyBorder="1" applyProtection="1">
      <protection locked="0"/>
    </xf>
    <xf numFmtId="1" fontId="3" fillId="0" borderId="1" xfId="1" applyNumberFormat="1" applyFont="1" applyBorder="1" applyAlignment="1" applyProtection="1">
      <alignment vertical="center"/>
      <protection locked="0"/>
    </xf>
    <xf numFmtId="1" fontId="3" fillId="3" borderId="4" xfId="1" applyNumberFormat="1" applyFont="1" applyFill="1" applyBorder="1" applyAlignment="1" applyProtection="1">
      <alignment horizontal="center" vertical="center"/>
    </xf>
    <xf numFmtId="1" fontId="3" fillId="3" borderId="5" xfId="1" applyNumberFormat="1" applyFont="1" applyFill="1" applyBorder="1" applyProtection="1"/>
    <xf numFmtId="1" fontId="3" fillId="3" borderId="5" xfId="1" applyNumberFormat="1" applyFont="1" applyFill="1" applyBorder="1" applyAlignment="1" applyProtection="1">
      <alignment wrapText="1"/>
    </xf>
    <xf numFmtId="1" fontId="3" fillId="3" borderId="7" xfId="1" applyNumberFormat="1" applyFont="1" applyFill="1" applyBorder="1" applyProtection="1"/>
    <xf numFmtId="1" fontId="0" fillId="0" borderId="1" xfId="1" applyNumberFormat="1" applyFont="1" applyBorder="1" applyProtection="1"/>
    <xf numFmtId="1" fontId="3" fillId="3" borderId="6" xfId="1" applyNumberFormat="1" applyFont="1" applyFill="1" applyBorder="1" applyProtection="1"/>
    <xf numFmtId="1" fontId="3" fillId="3" borderId="1" xfId="1" applyNumberFormat="1" applyFont="1" applyFill="1" applyBorder="1" applyAlignment="1" applyProtection="1">
      <alignment horizontal="center" wrapText="1"/>
    </xf>
    <xf numFmtId="1" fontId="3" fillId="3" borderId="5" xfId="1" applyNumberFormat="1" applyFont="1" applyFill="1" applyBorder="1" applyAlignment="1" applyProtection="1">
      <alignment horizontal="center" vertical="center" wrapText="1"/>
      <protection locked="0"/>
    </xf>
    <xf numFmtId="1" fontId="3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6" fillId="3" borderId="16" xfId="1" applyNumberFormat="1" applyFont="1" applyFill="1" applyBorder="1" applyAlignment="1" applyProtection="1">
      <alignment horizontal="center" vertical="center" wrapText="1"/>
      <protection locked="0"/>
    </xf>
    <xf numFmtId="1" fontId="3" fillId="3" borderId="10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3" fillId="3" borderId="4" xfId="1" applyNumberFormat="1" applyFont="1" applyFill="1" applyBorder="1" applyAlignment="1" applyProtection="1">
      <alignment horizontal="center"/>
    </xf>
    <xf numFmtId="1" fontId="3" fillId="3" borderId="17" xfId="1" applyNumberFormat="1" applyFont="1" applyFill="1" applyBorder="1" applyAlignment="1" applyProtection="1">
      <alignment horizontal="left" vertical="center"/>
    </xf>
    <xf numFmtId="1" fontId="3" fillId="3" borderId="5" xfId="1" applyNumberFormat="1" applyFont="1" applyFill="1" applyBorder="1" applyAlignment="1" applyProtection="1">
      <alignment horizontal="left" vertical="center"/>
    </xf>
    <xf numFmtId="1" fontId="5" fillId="3" borderId="5" xfId="1" applyNumberFormat="1" applyFont="1" applyFill="1" applyBorder="1" applyAlignment="1" applyProtection="1">
      <alignment horizontal="left" vertical="center" wrapText="1"/>
    </xf>
    <xf numFmtId="1" fontId="3" fillId="3" borderId="6" xfId="1" applyNumberFormat="1" applyFont="1" applyFill="1" applyBorder="1" applyAlignment="1" applyProtection="1">
      <alignment horizontal="left" vertical="center"/>
    </xf>
    <xf numFmtId="1" fontId="0" fillId="0" borderId="0" xfId="1" applyNumberFormat="1" applyFont="1"/>
    <xf numFmtId="1" fontId="0" fillId="0" borderId="0" xfId="1" applyNumberFormat="1" applyFont="1" applyProtection="1"/>
    <xf numFmtId="166" fontId="3" fillId="2" borderId="5" xfId="1" applyNumberFormat="1" applyFont="1" applyFill="1" applyBorder="1" applyAlignment="1" applyProtection="1">
      <alignment horizontal="center" vertical="center"/>
    </xf>
    <xf numFmtId="166" fontId="3" fillId="2" borderId="4" xfId="1" applyNumberFormat="1" applyFont="1" applyFill="1" applyBorder="1" applyAlignment="1" applyProtection="1">
      <alignment horizontal="center" vertical="center"/>
    </xf>
    <xf numFmtId="166" fontId="3" fillId="2" borderId="7" xfId="1" applyNumberFormat="1" applyFont="1" applyFill="1" applyBorder="1" applyAlignment="1" applyProtection="1">
      <alignment horizontal="center" vertical="center"/>
    </xf>
    <xf numFmtId="166" fontId="3" fillId="2" borderId="9" xfId="1" applyNumberFormat="1" applyFont="1" applyFill="1" applyBorder="1" applyAlignment="1" applyProtection="1">
      <alignment horizontal="center" vertical="center"/>
    </xf>
    <xf numFmtId="166" fontId="3" fillId="2" borderId="10" xfId="1" applyNumberFormat="1" applyFont="1" applyFill="1" applyBorder="1" applyAlignment="1" applyProtection="1">
      <alignment horizontal="center" vertical="center"/>
    </xf>
    <xf numFmtId="166" fontId="3" fillId="2" borderId="12" xfId="1" applyNumberFormat="1" applyFont="1" applyFill="1" applyBorder="1" applyAlignment="1" applyProtection="1">
      <alignment horizontal="center" vertical="center"/>
    </xf>
    <xf numFmtId="166" fontId="3" fillId="2" borderId="14" xfId="1" applyNumberFormat="1" applyFont="1" applyFill="1" applyBorder="1" applyAlignment="1" applyProtection="1">
      <alignment horizontal="center" vertical="center"/>
    </xf>
    <xf numFmtId="166" fontId="3" fillId="2" borderId="1" xfId="1" applyNumberFormat="1" applyFont="1" applyFill="1" applyBorder="1" applyAlignment="1" applyProtection="1">
      <alignment horizontal="center" vertical="center"/>
    </xf>
    <xf numFmtId="164" fontId="11" fillId="0" borderId="0" xfId="1" applyFont="1" applyProtection="1">
      <protection locked="0"/>
    </xf>
    <xf numFmtId="165" fontId="11" fillId="0" borderId="1" xfId="1" applyNumberFormat="1" applyFont="1" applyBorder="1" applyProtection="1">
      <protection locked="0"/>
    </xf>
    <xf numFmtId="165" fontId="10" fillId="0" borderId="3" xfId="1" applyNumberFormat="1" applyFont="1" applyBorder="1" applyProtection="1">
      <protection locked="0"/>
    </xf>
    <xf numFmtId="164" fontId="0" fillId="0" borderId="3" xfId="1" applyFont="1" applyBorder="1" applyAlignment="1" applyProtection="1">
      <alignment horizontal="right" vertical="center"/>
    </xf>
    <xf numFmtId="164" fontId="0" fillId="0" borderId="1" xfId="1" applyFont="1" applyBorder="1" applyAlignment="1" applyProtection="1">
      <alignment horizontal="right" vertical="center"/>
    </xf>
    <xf numFmtId="165" fontId="3" fillId="2" borderId="11" xfId="1" applyNumberFormat="1" applyFont="1" applyFill="1" applyBorder="1" applyAlignment="1" applyProtection="1">
      <alignment horizontal="center" vertical="center"/>
    </xf>
    <xf numFmtId="165" fontId="0" fillId="0" borderId="1" xfId="1" applyNumberFormat="1" applyFont="1" applyBorder="1" applyProtection="1"/>
    <xf numFmtId="165" fontId="4" fillId="0" borderId="3" xfId="1" applyNumberFormat="1" applyFont="1" applyFill="1" applyBorder="1" applyProtection="1">
      <protection locked="0"/>
    </xf>
    <xf numFmtId="165" fontId="4" fillId="0" borderId="1" xfId="1" applyNumberFormat="1" applyFont="1" applyFill="1" applyBorder="1" applyProtection="1">
      <protection locked="0"/>
    </xf>
    <xf numFmtId="165" fontId="3" fillId="4" borderId="3" xfId="1" applyNumberFormat="1" applyFont="1" applyFill="1" applyBorder="1" applyAlignment="1" applyProtection="1">
      <alignment horizontal="center" vertical="center" wrapText="1"/>
      <protection locked="0"/>
    </xf>
    <xf numFmtId="165" fontId="9" fillId="4" borderId="3" xfId="1" applyNumberFormat="1" applyFont="1" applyFill="1" applyBorder="1" applyAlignment="1" applyProtection="1">
      <alignment horizontal="center" vertical="center" wrapText="1"/>
      <protection locked="0"/>
    </xf>
    <xf numFmtId="165" fontId="5" fillId="4" borderId="3" xfId="1" applyNumberFormat="1" applyFont="1" applyFill="1" applyBorder="1" applyAlignment="1" applyProtection="1">
      <alignment horizontal="center" vertical="center" wrapText="1"/>
      <protection locked="0"/>
    </xf>
    <xf numFmtId="165" fontId="3" fillId="2" borderId="3" xfId="1" applyNumberFormat="1" applyFont="1" applyFill="1" applyBorder="1" applyAlignment="1" applyProtection="1">
      <alignment horizontal="center" vertical="center" wrapText="1"/>
      <protection locked="0"/>
    </xf>
    <xf numFmtId="165" fontId="12" fillId="5" borderId="3" xfId="1" applyNumberFormat="1" applyFont="1" applyFill="1" applyBorder="1" applyAlignment="1" applyProtection="1">
      <alignment horizontal="center" vertical="center" wrapText="1"/>
      <protection locked="0"/>
    </xf>
    <xf numFmtId="164" fontId="3" fillId="6" borderId="3" xfId="1" applyFont="1" applyFill="1" applyBorder="1" applyAlignment="1" applyProtection="1">
      <alignment horizontal="center" vertical="center" wrapText="1"/>
      <protection locked="0"/>
    </xf>
    <xf numFmtId="1" fontId="3" fillId="0" borderId="0" xfId="1" applyNumberFormat="1" applyFont="1"/>
    <xf numFmtId="164" fontId="4" fillId="0" borderId="1" xfId="1" applyFont="1" applyBorder="1" applyProtection="1"/>
    <xf numFmtId="1" fontId="8" fillId="0" borderId="0" xfId="1" applyNumberFormat="1" applyFont="1" applyAlignment="1" applyProtection="1">
      <alignment horizontal="left" vertical="center"/>
      <protection locked="0"/>
    </xf>
    <xf numFmtId="1" fontId="5" fillId="3" borderId="5" xfId="1" applyNumberFormat="1" applyFont="1" applyFill="1" applyBorder="1" applyAlignment="1" applyProtection="1">
      <alignment horizontal="left" vertical="center"/>
    </xf>
    <xf numFmtId="165" fontId="4" fillId="0" borderId="1" xfId="1" applyNumberFormat="1" applyFont="1" applyBorder="1" applyAlignment="1" applyProtection="1">
      <alignment horizontal="right" vertical="center"/>
    </xf>
    <xf numFmtId="164" fontId="4" fillId="0" borderId="1" xfId="1" applyFont="1" applyBorder="1" applyAlignment="1" applyProtection="1">
      <alignment horizontal="right" vertical="center"/>
    </xf>
    <xf numFmtId="165" fontId="0" fillId="4" borderId="1" xfId="1" applyNumberFormat="1" applyFont="1" applyFill="1" applyBorder="1" applyProtection="1">
      <protection locked="0"/>
    </xf>
    <xf numFmtId="165" fontId="0" fillId="0" borderId="1" xfId="1" applyNumberFormat="1" applyFont="1" applyBorder="1"/>
    <xf numFmtId="165" fontId="10" fillId="0" borderId="1" xfId="1" applyNumberFormat="1" applyFont="1" applyBorder="1" applyProtection="1">
      <protection locked="0"/>
    </xf>
    <xf numFmtId="1" fontId="5" fillId="3" borderId="5" xfId="1" applyNumberFormat="1" applyFont="1" applyFill="1" applyBorder="1" applyProtection="1"/>
    <xf numFmtId="164" fontId="4" fillId="0" borderId="3" xfId="1" applyFont="1" applyBorder="1" applyProtection="1"/>
    <xf numFmtId="164" fontId="4" fillId="0" borderId="8" xfId="1" applyFont="1" applyBorder="1" applyProtection="1"/>
    <xf numFmtId="164" fontId="4" fillId="0" borderId="0" xfId="1" applyFont="1" applyProtection="1"/>
    <xf numFmtId="164" fontId="10" fillId="0" borderId="2" xfId="1" applyFont="1" applyBorder="1" applyProtection="1"/>
    <xf numFmtId="164" fontId="10" fillId="0" borderId="1" xfId="1" applyFont="1" applyBorder="1" applyProtection="1"/>
    <xf numFmtId="1" fontId="1" fillId="0" borderId="2" xfId="1" applyNumberFormat="1" applyFont="1" applyBorder="1" applyAlignment="1" applyProtection="1">
      <alignment horizontal="right" wrapText="1"/>
      <protection locked="0"/>
    </xf>
    <xf numFmtId="165" fontId="13" fillId="0" borderId="9" xfId="1" applyNumberFormat="1" applyFont="1" applyBorder="1" applyAlignment="1" applyProtection="1">
      <alignment horizontal="center" vertical="center"/>
      <protection locked="0"/>
    </xf>
    <xf numFmtId="165" fontId="13" fillId="0" borderId="19" xfId="1" applyNumberFormat="1" applyFont="1" applyBorder="1" applyAlignment="1" applyProtection="1">
      <alignment horizontal="center" vertical="center"/>
      <protection locked="0"/>
    </xf>
    <xf numFmtId="165" fontId="13" fillId="0" borderId="20" xfId="1" applyNumberFormat="1" applyFont="1" applyBorder="1" applyAlignment="1" applyProtection="1">
      <alignment horizontal="center" vertical="center"/>
      <protection locked="0"/>
    </xf>
    <xf numFmtId="165" fontId="8" fillId="2" borderId="2" xfId="1" applyNumberFormat="1" applyFont="1" applyFill="1" applyBorder="1" applyAlignment="1" applyProtection="1">
      <alignment horizontal="center" vertical="center" wrapText="1"/>
    </xf>
    <xf numFmtId="165" fontId="8" fillId="2" borderId="13" xfId="1" applyNumberFormat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80"/>
  <sheetViews>
    <sheetView tabSelected="1" topLeftCell="L18" zoomScale="119" zoomScaleNormal="120" zoomScalePageLayoutView="177" workbookViewId="0">
      <selection activeCell="W33" sqref="W33"/>
    </sheetView>
  </sheetViews>
  <sheetFormatPr defaultColWidth="8.81640625" defaultRowHeight="14.5" x14ac:dyDescent="0.35"/>
  <cols>
    <col min="1" max="1" width="24.81640625" style="68" customWidth="1"/>
    <col min="2" max="2" width="22.453125" style="7" customWidth="1"/>
    <col min="3" max="3" width="25.1796875" style="27" customWidth="1"/>
    <col min="4" max="4" width="24.453125" style="7" customWidth="1"/>
    <col min="5" max="5" width="21" style="7" customWidth="1"/>
    <col min="6" max="18" width="16.81640625" style="7" customWidth="1"/>
    <col min="19" max="19" width="9.1796875" style="7" bestFit="1" customWidth="1"/>
    <col min="20" max="20" width="13.453125" style="7" customWidth="1"/>
    <col min="21" max="25" width="9.1796875" style="7" bestFit="1" customWidth="1"/>
    <col min="26" max="26" width="10.6328125" style="7" customWidth="1"/>
    <col min="27" max="27" width="9.1796875" style="7" bestFit="1" customWidth="1"/>
    <col min="28" max="16384" width="8.81640625" style="7"/>
  </cols>
  <sheetData>
    <row r="1" spans="1:29" s="2" customFormat="1" ht="32" customHeight="1" thickBot="1" x14ac:dyDescent="0.4">
      <c r="A1" s="107" t="s">
        <v>50</v>
      </c>
      <c r="B1" s="108" t="s">
        <v>51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10"/>
      <c r="U1" s="1"/>
      <c r="V1" s="1"/>
      <c r="W1" s="1"/>
      <c r="X1" s="1"/>
      <c r="Y1" s="1"/>
      <c r="Z1" s="1"/>
    </row>
    <row r="2" spans="1:29" s="4" customFormat="1" ht="68" customHeight="1" x14ac:dyDescent="0.35">
      <c r="A2" s="45" t="s">
        <v>17</v>
      </c>
      <c r="B2" s="86" t="s">
        <v>37</v>
      </c>
      <c r="C2" s="86" t="s">
        <v>46</v>
      </c>
      <c r="D2" s="86" t="s">
        <v>11</v>
      </c>
      <c r="E2" s="87" t="s">
        <v>13</v>
      </c>
      <c r="F2" s="86" t="s">
        <v>10</v>
      </c>
      <c r="G2" s="86" t="s">
        <v>31</v>
      </c>
      <c r="H2" s="86" t="s">
        <v>24</v>
      </c>
      <c r="I2" s="86" t="s">
        <v>25</v>
      </c>
      <c r="J2" s="88" t="s">
        <v>26</v>
      </c>
      <c r="K2" s="88" t="s">
        <v>27</v>
      </c>
      <c r="L2" s="88" t="s">
        <v>28</v>
      </c>
      <c r="M2" s="86" t="s">
        <v>29</v>
      </c>
      <c r="N2" s="86" t="s">
        <v>30</v>
      </c>
      <c r="O2" s="86" t="s">
        <v>39</v>
      </c>
      <c r="P2" s="86" t="s">
        <v>40</v>
      </c>
      <c r="Q2" s="86" t="s">
        <v>22</v>
      </c>
      <c r="R2" s="89" t="s">
        <v>38</v>
      </c>
      <c r="S2" s="90" t="s">
        <v>8</v>
      </c>
      <c r="T2" s="91" t="s">
        <v>45</v>
      </c>
      <c r="U2" s="3"/>
      <c r="V2" s="3"/>
      <c r="W2" s="3"/>
      <c r="X2" s="3"/>
      <c r="Y2" s="3"/>
      <c r="Z2" s="3"/>
      <c r="AA2" s="3"/>
      <c r="AB2" s="3"/>
      <c r="AC2" s="3"/>
    </row>
    <row r="3" spans="1:29" ht="17.25" customHeight="1" x14ac:dyDescent="0.35">
      <c r="A3" s="46">
        <v>1995</v>
      </c>
      <c r="B3" s="23">
        <v>11772</v>
      </c>
      <c r="C3" s="23"/>
      <c r="D3" s="23">
        <f>B3-C3</f>
        <v>11772</v>
      </c>
      <c r="E3" s="24"/>
      <c r="F3" s="98">
        <f>D3-E3</f>
        <v>11772</v>
      </c>
      <c r="G3" s="23">
        <v>9004</v>
      </c>
      <c r="H3" s="23">
        <v>1492</v>
      </c>
      <c r="I3" s="23">
        <v>966</v>
      </c>
      <c r="J3" s="84">
        <v>151</v>
      </c>
      <c r="K3" s="84">
        <v>108</v>
      </c>
      <c r="L3" s="84">
        <v>0</v>
      </c>
      <c r="M3" s="23">
        <v>51</v>
      </c>
      <c r="N3" s="23"/>
      <c r="O3" s="23"/>
      <c r="P3" s="23"/>
      <c r="Q3" s="23"/>
      <c r="R3" s="25">
        <f t="shared" ref="R3:R30" si="0">SUM(G3:Q3)</f>
        <v>11772</v>
      </c>
      <c r="S3" s="78">
        <f t="shared" ref="S3:S27" si="1">J3+K3+L3</f>
        <v>259</v>
      </c>
      <c r="T3" s="5">
        <f t="shared" ref="T3:T23" si="2">S3/R3*100</f>
        <v>2.200135915732246</v>
      </c>
      <c r="U3" s="6"/>
      <c r="V3" s="6"/>
      <c r="W3" s="6"/>
      <c r="X3" s="6"/>
      <c r="Y3" s="6"/>
      <c r="Z3" s="6"/>
      <c r="AA3" s="6"/>
      <c r="AB3" s="6"/>
      <c r="AC3" s="6"/>
    </row>
    <row r="4" spans="1:29" ht="17.25" customHeight="1" x14ac:dyDescent="0.35">
      <c r="A4" s="47">
        <v>1996</v>
      </c>
      <c r="B4" s="23">
        <v>15886</v>
      </c>
      <c r="C4" s="26"/>
      <c r="D4" s="23">
        <f t="shared" ref="D4:D30" si="3">B4-C4</f>
        <v>15886</v>
      </c>
      <c r="E4" s="26"/>
      <c r="F4" s="98">
        <f>D4-E4</f>
        <v>15886</v>
      </c>
      <c r="G4" s="26">
        <v>12023</v>
      </c>
      <c r="H4" s="26">
        <v>2043</v>
      </c>
      <c r="I4" s="26">
        <v>1408</v>
      </c>
      <c r="J4" s="85">
        <v>174</v>
      </c>
      <c r="K4" s="85">
        <v>154</v>
      </c>
      <c r="L4" s="85">
        <v>2</v>
      </c>
      <c r="M4" s="26">
        <v>82</v>
      </c>
      <c r="N4" s="26"/>
      <c r="O4" s="26"/>
      <c r="P4" s="26"/>
      <c r="Q4" s="26"/>
      <c r="R4" s="25">
        <f t="shared" si="0"/>
        <v>15886</v>
      </c>
      <c r="S4" s="78">
        <f t="shared" si="1"/>
        <v>330</v>
      </c>
      <c r="T4" s="5">
        <f t="shared" si="2"/>
        <v>2.0773007679717992</v>
      </c>
      <c r="U4" s="6"/>
      <c r="V4" s="6"/>
      <c r="W4" s="6"/>
      <c r="X4" s="6"/>
      <c r="Y4" s="6"/>
      <c r="Z4" s="6"/>
      <c r="AA4" s="6"/>
      <c r="AB4" s="6"/>
      <c r="AC4" s="6"/>
    </row>
    <row r="5" spans="1:29" ht="17.25" customHeight="1" x14ac:dyDescent="0.35">
      <c r="A5" s="47">
        <v>1997</v>
      </c>
      <c r="B5" s="23">
        <v>19842</v>
      </c>
      <c r="C5" s="26"/>
      <c r="D5" s="23">
        <f t="shared" si="3"/>
        <v>19842</v>
      </c>
      <c r="E5" s="26"/>
      <c r="F5" s="98">
        <f>D5-E5</f>
        <v>19842</v>
      </c>
      <c r="G5" s="26">
        <v>15034</v>
      </c>
      <c r="H5" s="26">
        <v>2609</v>
      </c>
      <c r="I5" s="26">
        <v>1745</v>
      </c>
      <c r="J5" s="85">
        <v>186</v>
      </c>
      <c r="K5" s="85">
        <v>152</v>
      </c>
      <c r="L5" s="85">
        <v>1</v>
      </c>
      <c r="M5" s="26">
        <v>114</v>
      </c>
      <c r="N5" s="26">
        <v>1</v>
      </c>
      <c r="O5" s="26"/>
      <c r="P5" s="26"/>
      <c r="Q5" s="26"/>
      <c r="R5" s="25">
        <f t="shared" si="0"/>
        <v>19842</v>
      </c>
      <c r="S5" s="78">
        <f t="shared" si="1"/>
        <v>339</v>
      </c>
      <c r="T5" s="5">
        <f t="shared" si="2"/>
        <v>1.708497127305715</v>
      </c>
      <c r="U5" s="6"/>
      <c r="V5" s="6"/>
      <c r="W5" s="6"/>
      <c r="X5" s="6"/>
      <c r="Y5" s="6"/>
      <c r="Z5" s="6"/>
      <c r="AA5" s="6"/>
      <c r="AB5" s="6"/>
      <c r="AC5" s="6"/>
    </row>
    <row r="6" spans="1:29" ht="17.25" customHeight="1" x14ac:dyDescent="0.35">
      <c r="A6" s="47">
        <v>1998</v>
      </c>
      <c r="B6" s="23">
        <v>17085</v>
      </c>
      <c r="C6" s="26"/>
      <c r="D6" s="23">
        <f t="shared" si="3"/>
        <v>17085</v>
      </c>
      <c r="E6" s="26"/>
      <c r="F6" s="98">
        <f>D6-E6</f>
        <v>17085</v>
      </c>
      <c r="G6" s="26">
        <v>12885</v>
      </c>
      <c r="H6" s="26">
        <v>2307</v>
      </c>
      <c r="I6" s="26">
        <v>1415</v>
      </c>
      <c r="J6" s="85">
        <v>215</v>
      </c>
      <c r="K6" s="85">
        <v>154</v>
      </c>
      <c r="L6" s="85">
        <v>1</v>
      </c>
      <c r="M6" s="26">
        <v>107</v>
      </c>
      <c r="N6" s="26">
        <v>1</v>
      </c>
      <c r="O6" s="26"/>
      <c r="P6" s="26"/>
      <c r="Q6" s="26"/>
      <c r="R6" s="25">
        <f t="shared" si="0"/>
        <v>17085</v>
      </c>
      <c r="S6" s="78">
        <f t="shared" si="1"/>
        <v>370</v>
      </c>
      <c r="T6" s="5">
        <f t="shared" si="2"/>
        <v>2.1656423763535262</v>
      </c>
      <c r="U6" s="6"/>
      <c r="V6" s="6"/>
      <c r="W6" s="6"/>
      <c r="X6" s="6"/>
      <c r="Y6" s="6"/>
      <c r="Z6" s="6"/>
      <c r="AA6" s="6"/>
      <c r="AB6" s="6"/>
      <c r="AC6" s="6"/>
    </row>
    <row r="7" spans="1:29" ht="17.25" customHeight="1" x14ac:dyDescent="0.35">
      <c r="A7" s="47">
        <v>1999</v>
      </c>
      <c r="B7" s="23">
        <v>16945</v>
      </c>
      <c r="C7" s="26"/>
      <c r="D7" s="23">
        <f t="shared" si="3"/>
        <v>16945</v>
      </c>
      <c r="E7" s="26"/>
      <c r="F7" s="98">
        <f t="shared" ref="F7:F17" si="4">D7-E7</f>
        <v>16945</v>
      </c>
      <c r="G7" s="26">
        <v>12896</v>
      </c>
      <c r="H7" s="26">
        <v>2274</v>
      </c>
      <c r="I7" s="26">
        <v>1400</v>
      </c>
      <c r="J7" s="85">
        <v>164</v>
      </c>
      <c r="K7" s="85">
        <v>131</v>
      </c>
      <c r="L7" s="85">
        <v>3</v>
      </c>
      <c r="M7" s="26">
        <v>70</v>
      </c>
      <c r="N7" s="26">
        <v>6</v>
      </c>
      <c r="O7" s="26"/>
      <c r="P7" s="26"/>
      <c r="Q7" s="26">
        <v>1</v>
      </c>
      <c r="R7" s="25">
        <f t="shared" si="0"/>
        <v>16945</v>
      </c>
      <c r="S7" s="78">
        <f t="shared" si="1"/>
        <v>298</v>
      </c>
      <c r="T7" s="5">
        <f t="shared" si="2"/>
        <v>1.7586308645618176</v>
      </c>
      <c r="U7" s="6"/>
      <c r="V7" s="6"/>
      <c r="W7" s="6"/>
      <c r="X7" s="6"/>
      <c r="Y7" s="6"/>
      <c r="Z7" s="6"/>
      <c r="AA7" s="6"/>
      <c r="AB7" s="6"/>
      <c r="AC7" s="6"/>
    </row>
    <row r="8" spans="1:29" ht="17.25" customHeight="1" x14ac:dyDescent="0.35">
      <c r="A8" s="47">
        <v>2000</v>
      </c>
      <c r="B8" s="23">
        <v>15104</v>
      </c>
      <c r="C8" s="26"/>
      <c r="D8" s="23">
        <f t="shared" si="3"/>
        <v>15104</v>
      </c>
      <c r="E8" s="26"/>
      <c r="F8" s="98">
        <f t="shared" si="4"/>
        <v>15104</v>
      </c>
      <c r="G8" s="26">
        <v>11405</v>
      </c>
      <c r="H8" s="26">
        <v>2014</v>
      </c>
      <c r="I8" s="26">
        <v>1266</v>
      </c>
      <c r="J8" s="85">
        <v>195</v>
      </c>
      <c r="K8" s="85">
        <v>127</v>
      </c>
      <c r="L8" s="85">
        <v>0</v>
      </c>
      <c r="M8" s="26">
        <v>96</v>
      </c>
      <c r="N8" s="26">
        <v>1</v>
      </c>
      <c r="O8" s="26"/>
      <c r="P8" s="26"/>
      <c r="Q8" s="26"/>
      <c r="R8" s="25">
        <f t="shared" si="0"/>
        <v>15104</v>
      </c>
      <c r="S8" s="78">
        <f t="shared" si="1"/>
        <v>322</v>
      </c>
      <c r="T8" s="5">
        <f t="shared" si="2"/>
        <v>2.1318855932203387</v>
      </c>
      <c r="U8" s="6"/>
      <c r="V8" s="6"/>
      <c r="W8" s="6"/>
      <c r="X8" s="6"/>
      <c r="Y8" s="6"/>
      <c r="Z8" s="6"/>
      <c r="AA8" s="6"/>
      <c r="AB8" s="6"/>
      <c r="AC8" s="6"/>
    </row>
    <row r="9" spans="1:29" ht="17.25" customHeight="1" x14ac:dyDescent="0.35">
      <c r="A9" s="47">
        <v>2001</v>
      </c>
      <c r="B9" s="23">
        <v>18204</v>
      </c>
      <c r="C9" s="26"/>
      <c r="D9" s="23">
        <f t="shared" si="3"/>
        <v>18204</v>
      </c>
      <c r="E9" s="26"/>
      <c r="F9" s="98">
        <f t="shared" si="4"/>
        <v>18204</v>
      </c>
      <c r="G9" s="26">
        <v>13804</v>
      </c>
      <c r="H9" s="26">
        <v>2427</v>
      </c>
      <c r="I9" s="26">
        <v>1525</v>
      </c>
      <c r="J9" s="85">
        <v>205</v>
      </c>
      <c r="K9" s="85">
        <v>143</v>
      </c>
      <c r="L9" s="85">
        <v>0</v>
      </c>
      <c r="M9" s="26">
        <v>100</v>
      </c>
      <c r="N9" s="26"/>
      <c r="O9" s="26"/>
      <c r="P9" s="26"/>
      <c r="Q9" s="26"/>
      <c r="R9" s="25">
        <f t="shared" si="0"/>
        <v>18204</v>
      </c>
      <c r="S9" s="78">
        <f t="shared" si="1"/>
        <v>348</v>
      </c>
      <c r="T9" s="5">
        <f t="shared" si="2"/>
        <v>1.9116677653263019</v>
      </c>
      <c r="U9" s="6"/>
      <c r="V9" s="6"/>
      <c r="W9" s="6"/>
      <c r="X9" s="6"/>
      <c r="Y9" s="6"/>
      <c r="Z9" s="6"/>
      <c r="AA9" s="6"/>
      <c r="AB9" s="6"/>
      <c r="AC9" s="6"/>
    </row>
    <row r="10" spans="1:29" ht="17.25" customHeight="1" x14ac:dyDescent="0.35">
      <c r="A10" s="47">
        <v>2002</v>
      </c>
      <c r="B10" s="23">
        <v>20832</v>
      </c>
      <c r="C10" s="26"/>
      <c r="D10" s="23">
        <f t="shared" si="3"/>
        <v>20832</v>
      </c>
      <c r="E10" s="26"/>
      <c r="F10" s="98">
        <f t="shared" si="4"/>
        <v>20832</v>
      </c>
      <c r="G10" s="26">
        <v>15690</v>
      </c>
      <c r="H10" s="26">
        <v>2897</v>
      </c>
      <c r="I10" s="26">
        <v>1767</v>
      </c>
      <c r="J10" s="85">
        <v>195</v>
      </c>
      <c r="K10" s="85">
        <v>170</v>
      </c>
      <c r="L10" s="85">
        <v>0</v>
      </c>
      <c r="M10" s="26">
        <v>97</v>
      </c>
      <c r="N10" s="26">
        <v>7</v>
      </c>
      <c r="O10" s="26">
        <v>5</v>
      </c>
      <c r="P10" s="26"/>
      <c r="Q10" s="26">
        <v>4</v>
      </c>
      <c r="R10" s="25">
        <f t="shared" si="0"/>
        <v>20832</v>
      </c>
      <c r="S10" s="78">
        <f t="shared" si="1"/>
        <v>365</v>
      </c>
      <c r="T10" s="5">
        <f t="shared" si="2"/>
        <v>1.7521121351766513</v>
      </c>
      <c r="U10" s="6"/>
      <c r="V10" s="6"/>
      <c r="W10" s="6"/>
      <c r="X10" s="6"/>
      <c r="Y10" s="6"/>
      <c r="Z10" s="6"/>
      <c r="AA10" s="6"/>
      <c r="AB10" s="6"/>
      <c r="AC10" s="6"/>
    </row>
    <row r="11" spans="1:29" ht="17.25" customHeight="1" x14ac:dyDescent="0.35">
      <c r="A11" s="47">
        <v>2003</v>
      </c>
      <c r="B11" s="23">
        <v>22288</v>
      </c>
      <c r="C11" s="26"/>
      <c r="D11" s="23">
        <f t="shared" si="3"/>
        <v>22288</v>
      </c>
      <c r="E11" s="26"/>
      <c r="F11" s="98">
        <f t="shared" si="4"/>
        <v>22288</v>
      </c>
      <c r="G11" s="26">
        <v>16803</v>
      </c>
      <c r="H11" s="26">
        <v>3068</v>
      </c>
      <c r="I11" s="26">
        <v>1938</v>
      </c>
      <c r="J11" s="85">
        <v>172</v>
      </c>
      <c r="K11" s="85">
        <v>192</v>
      </c>
      <c r="L11" s="85">
        <v>0</v>
      </c>
      <c r="M11" s="26">
        <v>99</v>
      </c>
      <c r="N11" s="26">
        <v>2</v>
      </c>
      <c r="O11" s="26">
        <v>5</v>
      </c>
      <c r="P11" s="26"/>
      <c r="Q11" s="26">
        <v>9</v>
      </c>
      <c r="R11" s="25">
        <f t="shared" si="0"/>
        <v>22288</v>
      </c>
      <c r="S11" s="78">
        <f t="shared" si="1"/>
        <v>364</v>
      </c>
      <c r="T11" s="5">
        <f t="shared" si="2"/>
        <v>1.6331658291457287</v>
      </c>
      <c r="U11" s="6"/>
      <c r="V11" s="6"/>
      <c r="W11" s="6"/>
      <c r="X11" s="6"/>
      <c r="Y11" s="6"/>
      <c r="Z11" s="6"/>
      <c r="AA11" s="6"/>
      <c r="AB11" s="6"/>
      <c r="AC11" s="6"/>
    </row>
    <row r="12" spans="1:29" ht="17.25" customHeight="1" x14ac:dyDescent="0.35">
      <c r="A12" s="47">
        <v>2004</v>
      </c>
      <c r="B12" s="23">
        <v>22292</v>
      </c>
      <c r="C12" s="26"/>
      <c r="D12" s="23">
        <f t="shared" si="3"/>
        <v>22292</v>
      </c>
      <c r="E12" s="26"/>
      <c r="F12" s="98">
        <f t="shared" si="4"/>
        <v>22292</v>
      </c>
      <c r="G12" s="26">
        <v>16856</v>
      </c>
      <c r="H12" s="26">
        <v>2929</v>
      </c>
      <c r="I12" s="26">
        <v>2010</v>
      </c>
      <c r="J12" s="85">
        <v>219</v>
      </c>
      <c r="K12" s="85">
        <v>174</v>
      </c>
      <c r="L12" s="85">
        <v>0</v>
      </c>
      <c r="M12" s="26">
        <v>101</v>
      </c>
      <c r="N12" s="26"/>
      <c r="O12" s="26">
        <v>1</v>
      </c>
      <c r="P12" s="26"/>
      <c r="Q12" s="26">
        <v>2</v>
      </c>
      <c r="R12" s="25">
        <f t="shared" si="0"/>
        <v>22292</v>
      </c>
      <c r="S12" s="78">
        <f t="shared" si="1"/>
        <v>393</v>
      </c>
      <c r="T12" s="5">
        <f t="shared" si="2"/>
        <v>1.7629642921227346</v>
      </c>
      <c r="U12" s="6"/>
      <c r="V12" s="6"/>
      <c r="W12" s="6"/>
      <c r="X12" s="6"/>
      <c r="Y12" s="6"/>
      <c r="Z12" s="6"/>
      <c r="AA12" s="6"/>
      <c r="AB12" s="6"/>
      <c r="AC12" s="6"/>
    </row>
    <row r="13" spans="1:29" ht="17.25" customHeight="1" x14ac:dyDescent="0.35">
      <c r="A13" s="47">
        <v>2005</v>
      </c>
      <c r="B13" s="23">
        <v>23176</v>
      </c>
      <c r="C13" s="26"/>
      <c r="D13" s="23">
        <f t="shared" si="3"/>
        <v>23176</v>
      </c>
      <c r="E13" s="26"/>
      <c r="F13" s="98">
        <f t="shared" si="4"/>
        <v>23176</v>
      </c>
      <c r="G13" s="26">
        <v>17292</v>
      </c>
      <c r="H13" s="26">
        <v>3210</v>
      </c>
      <c r="I13" s="26">
        <v>2163</v>
      </c>
      <c r="J13" s="85">
        <v>177</v>
      </c>
      <c r="K13" s="85">
        <v>187</v>
      </c>
      <c r="L13" s="85">
        <v>0</v>
      </c>
      <c r="M13" s="26">
        <v>133</v>
      </c>
      <c r="N13" s="26"/>
      <c r="O13" s="26">
        <v>8</v>
      </c>
      <c r="P13" s="26"/>
      <c r="Q13" s="26">
        <v>6</v>
      </c>
      <c r="R13" s="25">
        <f t="shared" si="0"/>
        <v>23176</v>
      </c>
      <c r="S13" s="78">
        <f t="shared" si="1"/>
        <v>364</v>
      </c>
      <c r="T13" s="5">
        <f t="shared" si="2"/>
        <v>1.5705902657921988</v>
      </c>
      <c r="U13" s="6"/>
      <c r="V13" s="6"/>
      <c r="W13" s="6"/>
      <c r="X13" s="6"/>
      <c r="Y13" s="6"/>
      <c r="Z13" s="6"/>
      <c r="AA13" s="6"/>
      <c r="AB13" s="6"/>
      <c r="AC13" s="6"/>
    </row>
    <row r="14" spans="1:29" ht="17.25" customHeight="1" x14ac:dyDescent="0.35">
      <c r="A14" s="47">
        <v>2006</v>
      </c>
      <c r="B14" s="23">
        <v>22927</v>
      </c>
      <c r="C14" s="26"/>
      <c r="D14" s="23">
        <f t="shared" si="3"/>
        <v>22927</v>
      </c>
      <c r="E14" s="26"/>
      <c r="F14" s="98">
        <f t="shared" si="4"/>
        <v>22927</v>
      </c>
      <c r="G14" s="26">
        <v>17286</v>
      </c>
      <c r="H14" s="26">
        <v>3057</v>
      </c>
      <c r="I14" s="26">
        <v>2117</v>
      </c>
      <c r="J14" s="85">
        <v>182</v>
      </c>
      <c r="K14" s="85">
        <v>180</v>
      </c>
      <c r="L14" s="85">
        <v>1</v>
      </c>
      <c r="M14" s="26">
        <v>88</v>
      </c>
      <c r="N14" s="26">
        <v>3</v>
      </c>
      <c r="O14" s="26">
        <v>4</v>
      </c>
      <c r="P14" s="26"/>
      <c r="Q14" s="26">
        <v>9</v>
      </c>
      <c r="R14" s="25">
        <f t="shared" si="0"/>
        <v>22927</v>
      </c>
      <c r="S14" s="78">
        <f t="shared" si="1"/>
        <v>363</v>
      </c>
      <c r="T14" s="5">
        <f t="shared" si="2"/>
        <v>1.5832860819121559</v>
      </c>
      <c r="U14" s="6"/>
      <c r="V14" s="6"/>
      <c r="W14" s="6"/>
      <c r="X14" s="6"/>
      <c r="Y14" s="6"/>
      <c r="Z14" s="6"/>
      <c r="AA14" s="6"/>
      <c r="AB14" s="6"/>
      <c r="AC14" s="6"/>
    </row>
    <row r="15" spans="1:29" ht="17.25" customHeight="1" x14ac:dyDescent="0.35">
      <c r="A15" s="47">
        <v>2007</v>
      </c>
      <c r="B15" s="23">
        <v>26328</v>
      </c>
      <c r="C15" s="26"/>
      <c r="D15" s="23">
        <f t="shared" si="3"/>
        <v>26328</v>
      </c>
      <c r="E15" s="26"/>
      <c r="F15" s="98">
        <f t="shared" si="4"/>
        <v>26328</v>
      </c>
      <c r="G15" s="26">
        <v>19933</v>
      </c>
      <c r="H15" s="26">
        <v>3465</v>
      </c>
      <c r="I15" s="26">
        <v>2371</v>
      </c>
      <c r="J15" s="85">
        <v>214</v>
      </c>
      <c r="K15" s="85">
        <v>199</v>
      </c>
      <c r="L15" s="85">
        <v>5</v>
      </c>
      <c r="M15" s="26">
        <v>106</v>
      </c>
      <c r="N15" s="26">
        <v>8</v>
      </c>
      <c r="O15" s="26">
        <v>9</v>
      </c>
      <c r="P15" s="26"/>
      <c r="Q15" s="26">
        <v>18</v>
      </c>
      <c r="R15" s="25">
        <f t="shared" si="0"/>
        <v>26328</v>
      </c>
      <c r="S15" s="78">
        <f t="shared" si="1"/>
        <v>418</v>
      </c>
      <c r="T15" s="5">
        <f t="shared" si="2"/>
        <v>1.5876633242175631</v>
      </c>
      <c r="U15" s="6"/>
      <c r="V15" s="6"/>
      <c r="W15" s="6"/>
      <c r="X15" s="6"/>
      <c r="Y15" s="6"/>
      <c r="Z15" s="6"/>
      <c r="AA15" s="6"/>
      <c r="AB15" s="6"/>
      <c r="AC15" s="6"/>
    </row>
    <row r="16" spans="1:29" ht="17.25" customHeight="1" x14ac:dyDescent="0.35">
      <c r="A16" s="47">
        <v>2008</v>
      </c>
      <c r="B16" s="23">
        <v>27305</v>
      </c>
      <c r="C16" s="26"/>
      <c r="D16" s="23">
        <f t="shared" si="3"/>
        <v>27305</v>
      </c>
      <c r="E16" s="26"/>
      <c r="F16" s="98">
        <f t="shared" si="4"/>
        <v>27305</v>
      </c>
      <c r="G16" s="26">
        <v>20545</v>
      </c>
      <c r="H16" s="26">
        <v>3690</v>
      </c>
      <c r="I16" s="26">
        <v>2464</v>
      </c>
      <c r="J16" s="85">
        <v>225</v>
      </c>
      <c r="K16" s="85">
        <v>229</v>
      </c>
      <c r="L16" s="85">
        <v>2</v>
      </c>
      <c r="M16" s="26">
        <v>124</v>
      </c>
      <c r="N16" s="26">
        <v>7</v>
      </c>
      <c r="O16" s="26">
        <v>9</v>
      </c>
      <c r="P16" s="26"/>
      <c r="Q16" s="26">
        <v>10</v>
      </c>
      <c r="R16" s="25">
        <f t="shared" si="0"/>
        <v>27305</v>
      </c>
      <c r="S16" s="78">
        <f t="shared" si="1"/>
        <v>456</v>
      </c>
      <c r="T16" s="5">
        <f t="shared" si="2"/>
        <v>1.6700238051638894</v>
      </c>
      <c r="U16" s="6"/>
      <c r="V16" s="6"/>
      <c r="W16" s="6"/>
      <c r="X16" s="6"/>
      <c r="Y16" s="6"/>
      <c r="Z16" s="6"/>
      <c r="AA16" s="6"/>
      <c r="AB16" s="6"/>
      <c r="AC16" s="6"/>
    </row>
    <row r="17" spans="1:29" ht="17.25" customHeight="1" x14ac:dyDescent="0.35">
      <c r="A17" s="47">
        <v>2009</v>
      </c>
      <c r="B17" s="23">
        <v>20862</v>
      </c>
      <c r="C17" s="26"/>
      <c r="D17" s="23">
        <f t="shared" si="3"/>
        <v>20862</v>
      </c>
      <c r="E17" s="26"/>
      <c r="F17" s="98">
        <f t="shared" si="4"/>
        <v>20862</v>
      </c>
      <c r="G17" s="26">
        <v>15684</v>
      </c>
      <c r="H17" s="26">
        <v>2797</v>
      </c>
      <c r="I17" s="26">
        <v>1947</v>
      </c>
      <c r="J17" s="85">
        <v>162</v>
      </c>
      <c r="K17" s="85">
        <v>171</v>
      </c>
      <c r="L17" s="85">
        <v>3</v>
      </c>
      <c r="M17" s="26">
        <v>63</v>
      </c>
      <c r="N17" s="26">
        <v>9</v>
      </c>
      <c r="O17" s="26">
        <v>9</v>
      </c>
      <c r="P17" s="26"/>
      <c r="Q17" s="26">
        <v>17</v>
      </c>
      <c r="R17" s="25">
        <f t="shared" si="0"/>
        <v>20862</v>
      </c>
      <c r="S17" s="78">
        <f t="shared" si="1"/>
        <v>336</v>
      </c>
      <c r="T17" s="5">
        <f t="shared" si="2"/>
        <v>1.6105838366407821</v>
      </c>
      <c r="U17" s="6"/>
      <c r="V17" s="6"/>
      <c r="W17" s="6"/>
      <c r="X17" s="6"/>
      <c r="Y17" s="6"/>
      <c r="Z17" s="6"/>
      <c r="AA17" s="6"/>
      <c r="AB17" s="6"/>
      <c r="AC17" s="6"/>
    </row>
    <row r="18" spans="1:29" ht="17.25" customHeight="1" x14ac:dyDescent="0.35">
      <c r="A18" s="47">
        <v>2010</v>
      </c>
      <c r="B18" s="23">
        <v>23088</v>
      </c>
      <c r="C18" s="26"/>
      <c r="D18" s="23">
        <f t="shared" si="3"/>
        <v>23088</v>
      </c>
      <c r="E18" s="26"/>
      <c r="F18" s="98">
        <f t="shared" ref="F18:F24" si="5">D18-E18</f>
        <v>23088</v>
      </c>
      <c r="G18" s="26">
        <v>17529</v>
      </c>
      <c r="H18" s="26">
        <v>2952</v>
      </c>
      <c r="I18" s="26">
        <v>2085</v>
      </c>
      <c r="J18" s="85">
        <v>199</v>
      </c>
      <c r="K18" s="85">
        <v>198</v>
      </c>
      <c r="L18" s="85">
        <v>1</v>
      </c>
      <c r="M18" s="26">
        <v>100</v>
      </c>
      <c r="N18" s="26">
        <v>3</v>
      </c>
      <c r="O18" s="26">
        <v>14</v>
      </c>
      <c r="P18" s="26"/>
      <c r="Q18" s="26">
        <v>7</v>
      </c>
      <c r="R18" s="25">
        <f t="shared" si="0"/>
        <v>23088</v>
      </c>
      <c r="S18" s="78">
        <f t="shared" si="1"/>
        <v>398</v>
      </c>
      <c r="T18" s="5">
        <f t="shared" si="2"/>
        <v>1.7238392238392237</v>
      </c>
      <c r="U18" s="6"/>
      <c r="V18" s="6"/>
      <c r="W18" s="6"/>
      <c r="X18" s="6"/>
      <c r="Y18" s="6"/>
      <c r="Z18" s="6"/>
      <c r="AA18" s="6"/>
      <c r="AB18" s="6"/>
      <c r="AC18" s="6"/>
    </row>
    <row r="19" spans="1:29" ht="17.25" customHeight="1" x14ac:dyDescent="0.35">
      <c r="A19" s="47">
        <v>2011</v>
      </c>
      <c r="B19" s="23">
        <v>22442</v>
      </c>
      <c r="C19" s="26"/>
      <c r="D19" s="23">
        <f t="shared" si="3"/>
        <v>22442</v>
      </c>
      <c r="E19" s="26"/>
      <c r="F19" s="98">
        <f t="shared" si="5"/>
        <v>22442</v>
      </c>
      <c r="G19" s="26">
        <v>17026</v>
      </c>
      <c r="H19" s="26">
        <v>3019</v>
      </c>
      <c r="I19" s="26">
        <v>1927</v>
      </c>
      <c r="J19" s="85">
        <v>171</v>
      </c>
      <c r="K19" s="85">
        <v>162</v>
      </c>
      <c r="L19" s="85">
        <v>1</v>
      </c>
      <c r="M19" s="26">
        <v>110</v>
      </c>
      <c r="N19" s="26">
        <v>10</v>
      </c>
      <c r="O19" s="26">
        <v>3</v>
      </c>
      <c r="P19" s="26"/>
      <c r="Q19" s="26">
        <v>13</v>
      </c>
      <c r="R19" s="25">
        <f t="shared" si="0"/>
        <v>22442</v>
      </c>
      <c r="S19" s="78">
        <f t="shared" si="1"/>
        <v>334</v>
      </c>
      <c r="T19" s="5">
        <f t="shared" si="2"/>
        <v>1.4882809018804029</v>
      </c>
      <c r="U19" s="6"/>
      <c r="V19" s="6"/>
      <c r="W19" s="6"/>
      <c r="X19" s="6"/>
      <c r="Y19" s="6"/>
      <c r="Z19" s="6"/>
      <c r="AA19" s="6"/>
      <c r="AB19" s="6"/>
      <c r="AC19" s="6"/>
    </row>
    <row r="20" spans="1:29" ht="17.25" customHeight="1" x14ac:dyDescent="0.35">
      <c r="A20" s="47">
        <v>2012</v>
      </c>
      <c r="B20" s="23">
        <v>23830</v>
      </c>
      <c r="C20" s="26"/>
      <c r="D20" s="23">
        <f t="shared" si="3"/>
        <v>23830</v>
      </c>
      <c r="E20" s="26"/>
      <c r="F20" s="98">
        <f t="shared" si="5"/>
        <v>23830</v>
      </c>
      <c r="G20" s="26">
        <f>17791+47</f>
        <v>17838</v>
      </c>
      <c r="H20" s="26">
        <f>3173+11</f>
        <v>3184</v>
      </c>
      <c r="I20" s="26">
        <f>2261+5</f>
        <v>2266</v>
      </c>
      <c r="J20" s="85">
        <f>172+1</f>
        <v>173</v>
      </c>
      <c r="K20" s="85">
        <f>183+1</f>
        <v>184</v>
      </c>
      <c r="L20" s="85">
        <v>20</v>
      </c>
      <c r="M20" s="26">
        <f>121+1</f>
        <v>122</v>
      </c>
      <c r="N20" s="26">
        <v>8</v>
      </c>
      <c r="O20" s="26">
        <v>7</v>
      </c>
      <c r="P20" s="26"/>
      <c r="Q20" s="26">
        <v>28</v>
      </c>
      <c r="R20" s="25">
        <f t="shared" si="0"/>
        <v>23830</v>
      </c>
      <c r="S20" s="78">
        <f t="shared" si="1"/>
        <v>377</v>
      </c>
      <c r="T20" s="5">
        <f t="shared" si="2"/>
        <v>1.5820394460763745</v>
      </c>
      <c r="U20" s="6"/>
      <c r="V20" s="6"/>
      <c r="W20" s="6"/>
      <c r="X20" s="6"/>
      <c r="Y20" s="6"/>
      <c r="Z20" s="6"/>
      <c r="AA20" s="6"/>
      <c r="AB20" s="6"/>
      <c r="AC20" s="6"/>
    </row>
    <row r="21" spans="1:29" ht="17.25" customHeight="1" x14ac:dyDescent="0.35">
      <c r="A21" s="47">
        <v>2013</v>
      </c>
      <c r="B21" s="23">
        <v>30594</v>
      </c>
      <c r="C21" s="26">
        <v>1</v>
      </c>
      <c r="D21" s="23">
        <f t="shared" si="3"/>
        <v>30593</v>
      </c>
      <c r="E21" s="26"/>
      <c r="F21" s="98">
        <f t="shared" si="5"/>
        <v>30593</v>
      </c>
      <c r="G21" s="26">
        <v>23003</v>
      </c>
      <c r="H21" s="26">
        <v>3948</v>
      </c>
      <c r="I21" s="26">
        <v>2944</v>
      </c>
      <c r="J21" s="85">
        <v>234</v>
      </c>
      <c r="K21" s="85">
        <v>261</v>
      </c>
      <c r="L21" s="85">
        <v>12</v>
      </c>
      <c r="M21" s="26">
        <v>142</v>
      </c>
      <c r="N21" s="26">
        <v>7</v>
      </c>
      <c r="O21" s="26">
        <v>14</v>
      </c>
      <c r="P21" s="26"/>
      <c r="Q21" s="26">
        <v>28</v>
      </c>
      <c r="R21" s="25">
        <f t="shared" si="0"/>
        <v>30593</v>
      </c>
      <c r="S21" s="78">
        <f t="shared" si="1"/>
        <v>507</v>
      </c>
      <c r="T21" s="5">
        <f t="shared" si="2"/>
        <v>1.6572418527114046</v>
      </c>
      <c r="U21" s="6"/>
      <c r="V21" s="6"/>
      <c r="W21" s="6"/>
      <c r="X21" s="6"/>
      <c r="Y21" s="6"/>
      <c r="Z21" s="6"/>
      <c r="AA21" s="6"/>
      <c r="AB21" s="6"/>
      <c r="AC21" s="6"/>
    </row>
    <row r="22" spans="1:29" ht="17.25" customHeight="1" x14ac:dyDescent="0.35">
      <c r="A22" s="47">
        <v>2014</v>
      </c>
      <c r="B22" s="23">
        <v>29275</v>
      </c>
      <c r="C22" s="26"/>
      <c r="D22" s="23">
        <f t="shared" si="3"/>
        <v>29275</v>
      </c>
      <c r="E22" s="26"/>
      <c r="F22" s="98">
        <f t="shared" si="5"/>
        <v>29275</v>
      </c>
      <c r="G22" s="26">
        <v>21916</v>
      </c>
      <c r="H22" s="26">
        <v>3885</v>
      </c>
      <c r="I22" s="26">
        <v>2845</v>
      </c>
      <c r="J22" s="85">
        <v>219</v>
      </c>
      <c r="K22" s="85">
        <v>234</v>
      </c>
      <c r="L22" s="85">
        <v>6</v>
      </c>
      <c r="M22" s="26">
        <v>126</v>
      </c>
      <c r="N22" s="26">
        <v>4</v>
      </c>
      <c r="O22" s="26">
        <v>23</v>
      </c>
      <c r="P22" s="26"/>
      <c r="Q22" s="26">
        <v>17</v>
      </c>
      <c r="R22" s="25">
        <f t="shared" si="0"/>
        <v>29275</v>
      </c>
      <c r="S22" s="78">
        <f t="shared" si="1"/>
        <v>459</v>
      </c>
      <c r="T22" s="5">
        <f t="shared" si="2"/>
        <v>1.5678906917164817</v>
      </c>
      <c r="U22" s="6"/>
      <c r="V22" s="6"/>
      <c r="W22" s="6"/>
      <c r="X22" s="6"/>
      <c r="Y22" s="6"/>
      <c r="Z22" s="6"/>
      <c r="AA22" s="6"/>
      <c r="AB22" s="6"/>
      <c r="AC22" s="6"/>
    </row>
    <row r="23" spans="1:29" ht="17.25" customHeight="1" x14ac:dyDescent="0.35">
      <c r="A23" s="47">
        <v>2015</v>
      </c>
      <c r="B23" s="23">
        <v>25408</v>
      </c>
      <c r="C23" s="26"/>
      <c r="D23" s="23">
        <f t="shared" si="3"/>
        <v>25408</v>
      </c>
      <c r="E23" s="26"/>
      <c r="F23" s="98">
        <f t="shared" si="5"/>
        <v>25408</v>
      </c>
      <c r="G23" s="26">
        <v>19304</v>
      </c>
      <c r="H23" s="26">
        <v>3200</v>
      </c>
      <c r="I23" s="26">
        <v>2353</v>
      </c>
      <c r="J23" s="85">
        <v>184</v>
      </c>
      <c r="K23" s="85">
        <v>198</v>
      </c>
      <c r="L23" s="85">
        <v>16</v>
      </c>
      <c r="M23" s="26">
        <v>146</v>
      </c>
      <c r="N23" s="26">
        <v>7</v>
      </c>
      <c r="O23" s="26">
        <v>0</v>
      </c>
      <c r="P23" s="26"/>
      <c r="Q23" s="26"/>
      <c r="R23" s="25">
        <f t="shared" si="0"/>
        <v>25408</v>
      </c>
      <c r="S23" s="78">
        <f t="shared" si="1"/>
        <v>398</v>
      </c>
      <c r="T23" s="5">
        <f t="shared" si="2"/>
        <v>1.566435768261965</v>
      </c>
      <c r="U23" s="6"/>
      <c r="V23" s="6"/>
      <c r="W23" s="6"/>
      <c r="X23" s="6"/>
      <c r="Y23" s="6"/>
      <c r="Z23" s="6"/>
      <c r="AA23" s="6"/>
      <c r="AB23" s="6"/>
      <c r="AC23" s="6"/>
    </row>
    <row r="24" spans="1:29" ht="17.25" customHeight="1" x14ac:dyDescent="0.35">
      <c r="A24" s="47">
        <v>2016</v>
      </c>
      <c r="B24" s="23">
        <v>26579</v>
      </c>
      <c r="C24" s="26"/>
      <c r="D24" s="23">
        <f t="shared" si="3"/>
        <v>26579</v>
      </c>
      <c r="E24" s="26"/>
      <c r="F24" s="98">
        <f t="shared" si="5"/>
        <v>26579</v>
      </c>
      <c r="G24" s="26">
        <v>19961</v>
      </c>
      <c r="H24" s="26">
        <v>3383</v>
      </c>
      <c r="I24" s="26">
        <v>2380</v>
      </c>
      <c r="J24" s="85">
        <v>248</v>
      </c>
      <c r="K24" s="85">
        <v>206</v>
      </c>
      <c r="L24" s="85">
        <v>10</v>
      </c>
      <c r="M24" s="26">
        <v>143</v>
      </c>
      <c r="N24" s="26">
        <v>22</v>
      </c>
      <c r="O24" s="26">
        <v>5</v>
      </c>
      <c r="P24" s="26"/>
      <c r="Q24" s="26">
        <v>221</v>
      </c>
      <c r="R24" s="25">
        <f t="shared" si="0"/>
        <v>26579</v>
      </c>
      <c r="S24" s="78">
        <f t="shared" si="1"/>
        <v>464</v>
      </c>
      <c r="T24" s="5">
        <f t="shared" ref="T24:T32" si="6">S24/R24*100</f>
        <v>1.7457391173482824</v>
      </c>
      <c r="U24" s="6"/>
      <c r="V24" s="6"/>
      <c r="W24" s="6"/>
      <c r="X24" s="6"/>
      <c r="Y24" s="6"/>
      <c r="Z24" s="6"/>
      <c r="AA24" s="6"/>
      <c r="AB24" s="6"/>
      <c r="AC24" s="6"/>
    </row>
    <row r="25" spans="1:29" ht="17.25" customHeight="1" x14ac:dyDescent="0.35">
      <c r="A25" s="47">
        <v>2017</v>
      </c>
      <c r="B25" s="23">
        <v>13983</v>
      </c>
      <c r="C25" s="26">
        <v>9</v>
      </c>
      <c r="D25" s="23">
        <f t="shared" si="3"/>
        <v>13974</v>
      </c>
      <c r="E25" s="29">
        <f t="shared" ref="E25:E30" si="7">D25-R25</f>
        <v>0</v>
      </c>
      <c r="F25" s="98">
        <f t="shared" ref="F25:F30" si="8">D25-E25</f>
        <v>13974</v>
      </c>
      <c r="G25" s="26">
        <v>10579</v>
      </c>
      <c r="H25" s="26">
        <v>1860</v>
      </c>
      <c r="I25" s="26">
        <v>1248</v>
      </c>
      <c r="J25" s="85">
        <v>100</v>
      </c>
      <c r="K25" s="85">
        <v>96</v>
      </c>
      <c r="L25" s="85">
        <v>2</v>
      </c>
      <c r="M25" s="26">
        <v>63</v>
      </c>
      <c r="N25" s="26">
        <v>14</v>
      </c>
      <c r="O25" s="26">
        <v>6</v>
      </c>
      <c r="P25" s="26">
        <v>0</v>
      </c>
      <c r="Q25" s="26">
        <v>6</v>
      </c>
      <c r="R25" s="25">
        <f t="shared" si="0"/>
        <v>13974</v>
      </c>
      <c r="S25" s="78">
        <f t="shared" si="1"/>
        <v>198</v>
      </c>
      <c r="T25" s="5">
        <f t="shared" si="6"/>
        <v>1.4169171318162301</v>
      </c>
      <c r="U25" s="77"/>
      <c r="V25" s="6"/>
      <c r="W25" s="6"/>
      <c r="X25" s="6"/>
      <c r="Y25" s="6"/>
      <c r="Z25" s="6"/>
      <c r="AA25" s="6"/>
      <c r="AB25" s="6"/>
      <c r="AC25" s="6"/>
    </row>
    <row r="26" spans="1:29" ht="17.25" customHeight="1" x14ac:dyDescent="0.35">
      <c r="A26" s="47">
        <v>2018</v>
      </c>
      <c r="B26" s="23">
        <v>11275</v>
      </c>
      <c r="C26" s="26">
        <v>31</v>
      </c>
      <c r="D26" s="23">
        <f t="shared" si="3"/>
        <v>11244</v>
      </c>
      <c r="E26" s="29">
        <f t="shared" si="7"/>
        <v>0</v>
      </c>
      <c r="F26" s="98">
        <f t="shared" si="8"/>
        <v>11244</v>
      </c>
      <c r="G26" s="26">
        <v>8406</v>
      </c>
      <c r="H26" s="26">
        <v>1511</v>
      </c>
      <c r="I26" s="26">
        <v>1057</v>
      </c>
      <c r="J26" s="85">
        <v>99</v>
      </c>
      <c r="K26" s="85">
        <v>99</v>
      </c>
      <c r="L26" s="85">
        <v>4</v>
      </c>
      <c r="M26" s="30">
        <v>46</v>
      </c>
      <c r="N26" s="26">
        <v>22</v>
      </c>
      <c r="O26" s="26">
        <v>0</v>
      </c>
      <c r="P26" s="26">
        <v>0</v>
      </c>
      <c r="Q26" s="26"/>
      <c r="R26" s="25">
        <f t="shared" si="0"/>
        <v>11244</v>
      </c>
      <c r="S26" s="78">
        <f>J26+K26+L26</f>
        <v>202</v>
      </c>
      <c r="T26" s="5">
        <f t="shared" si="6"/>
        <v>1.7965136961935253</v>
      </c>
      <c r="U26" s="6"/>
      <c r="V26" s="6"/>
      <c r="W26" s="6"/>
      <c r="X26" s="6"/>
      <c r="Y26" s="6"/>
      <c r="Z26" s="6"/>
      <c r="AA26" s="6"/>
      <c r="AB26" s="6"/>
      <c r="AC26" s="6"/>
    </row>
    <row r="27" spans="1:29" ht="17.25" customHeight="1" x14ac:dyDescent="0.35">
      <c r="A27" s="47">
        <v>2019</v>
      </c>
      <c r="B27" s="23">
        <v>11377</v>
      </c>
      <c r="C27" s="26"/>
      <c r="D27" s="23">
        <f t="shared" si="3"/>
        <v>11377</v>
      </c>
      <c r="E27" s="29">
        <f t="shared" si="7"/>
        <v>0</v>
      </c>
      <c r="F27" s="98">
        <f t="shared" si="8"/>
        <v>11377</v>
      </c>
      <c r="G27" s="26">
        <v>8641</v>
      </c>
      <c r="H27" s="26">
        <v>1486</v>
      </c>
      <c r="I27" s="26">
        <v>938</v>
      </c>
      <c r="J27" s="85">
        <v>105</v>
      </c>
      <c r="K27" s="85">
        <v>101</v>
      </c>
      <c r="L27" s="85">
        <v>2</v>
      </c>
      <c r="M27" s="26">
        <v>52</v>
      </c>
      <c r="N27" s="26">
        <v>51</v>
      </c>
      <c r="O27" s="26"/>
      <c r="P27" s="26"/>
      <c r="Q27" s="26">
        <v>1</v>
      </c>
      <c r="R27" s="25">
        <f t="shared" si="0"/>
        <v>11377</v>
      </c>
      <c r="S27" s="78">
        <f t="shared" si="1"/>
        <v>208</v>
      </c>
      <c r="T27" s="5">
        <f t="shared" si="6"/>
        <v>1.8282499780258417</v>
      </c>
      <c r="U27" s="6"/>
      <c r="V27" s="6"/>
      <c r="W27" s="6"/>
      <c r="X27" s="6"/>
      <c r="Y27" s="6"/>
      <c r="Z27" s="6"/>
      <c r="AA27" s="6"/>
      <c r="AB27" s="6"/>
      <c r="AC27" s="6"/>
    </row>
    <row r="28" spans="1:29" ht="17.25" customHeight="1" x14ac:dyDescent="0.35">
      <c r="A28" s="47">
        <v>2020</v>
      </c>
      <c r="B28" s="99">
        <v>10077</v>
      </c>
      <c r="C28" s="26"/>
      <c r="D28" s="79">
        <f t="shared" si="3"/>
        <v>10077</v>
      </c>
      <c r="E28" s="29">
        <f t="shared" si="7"/>
        <v>0</v>
      </c>
      <c r="F28" s="98">
        <f t="shared" si="8"/>
        <v>10077</v>
      </c>
      <c r="G28" s="26">
        <v>7590</v>
      </c>
      <c r="H28" s="26">
        <v>1376</v>
      </c>
      <c r="I28" s="26">
        <v>839</v>
      </c>
      <c r="J28" s="85">
        <v>104</v>
      </c>
      <c r="K28" s="85">
        <v>90</v>
      </c>
      <c r="L28" s="85">
        <v>4</v>
      </c>
      <c r="M28" s="26">
        <v>56</v>
      </c>
      <c r="N28" s="26">
        <v>17</v>
      </c>
      <c r="O28" s="26">
        <v>1</v>
      </c>
      <c r="P28" s="26"/>
      <c r="Q28" s="26"/>
      <c r="R28" s="25">
        <f t="shared" si="0"/>
        <v>10077</v>
      </c>
      <c r="S28" s="78">
        <f>J28+K28+L28</f>
        <v>198</v>
      </c>
      <c r="T28" s="5">
        <f>S28/R28*100</f>
        <v>1.9648704971717772</v>
      </c>
      <c r="U28" s="6"/>
      <c r="V28" s="6"/>
      <c r="W28" s="6"/>
      <c r="X28" s="6"/>
      <c r="Y28" s="6"/>
      <c r="Z28" s="6"/>
      <c r="AA28" s="6"/>
      <c r="AB28" s="6"/>
      <c r="AC28" s="6"/>
    </row>
    <row r="29" spans="1:29" ht="17.25" customHeight="1" x14ac:dyDescent="0.35">
      <c r="A29" s="47">
        <v>2021</v>
      </c>
      <c r="B29" s="79">
        <v>22063</v>
      </c>
      <c r="C29" s="26"/>
      <c r="D29" s="79">
        <f t="shared" si="3"/>
        <v>22063</v>
      </c>
      <c r="E29" s="29">
        <f t="shared" si="7"/>
        <v>306</v>
      </c>
      <c r="F29" s="98">
        <f t="shared" si="8"/>
        <v>21757</v>
      </c>
      <c r="G29" s="26">
        <v>15971</v>
      </c>
      <c r="H29" s="26">
        <v>2859</v>
      </c>
      <c r="I29" s="26">
        <v>2439</v>
      </c>
      <c r="J29" s="85">
        <v>155</v>
      </c>
      <c r="K29" s="85">
        <v>190</v>
      </c>
      <c r="L29" s="85">
        <v>6</v>
      </c>
      <c r="M29" s="26">
        <v>128</v>
      </c>
      <c r="N29" s="26">
        <v>9</v>
      </c>
      <c r="O29" s="26">
        <v>0</v>
      </c>
      <c r="P29" s="26">
        <v>0</v>
      </c>
      <c r="Q29" s="26">
        <v>0</v>
      </c>
      <c r="R29" s="25">
        <f t="shared" si="0"/>
        <v>21757</v>
      </c>
      <c r="S29" s="78">
        <f>J29+K29+L29</f>
        <v>351</v>
      </c>
      <c r="T29" s="5">
        <f>S29/R29*100</f>
        <v>1.6132738888633542</v>
      </c>
      <c r="U29" s="6"/>
      <c r="V29" s="6"/>
      <c r="W29" s="6"/>
      <c r="X29" s="6"/>
      <c r="Y29" s="6"/>
      <c r="Z29" s="6"/>
      <c r="AA29" s="6"/>
      <c r="AB29" s="6"/>
      <c r="AC29" s="6"/>
    </row>
    <row r="30" spans="1:29" ht="17.25" customHeight="1" x14ac:dyDescent="0.35">
      <c r="A30" s="47">
        <v>2022</v>
      </c>
      <c r="B30" s="100">
        <v>35379</v>
      </c>
      <c r="C30" s="26">
        <v>1</v>
      </c>
      <c r="D30" s="79">
        <f t="shared" si="3"/>
        <v>35378</v>
      </c>
      <c r="E30" s="29">
        <f t="shared" si="7"/>
        <v>6342</v>
      </c>
      <c r="F30" s="98">
        <f t="shared" si="8"/>
        <v>29036</v>
      </c>
      <c r="G30" s="26">
        <v>21427</v>
      </c>
      <c r="H30" s="26">
        <v>3680</v>
      </c>
      <c r="I30" s="26">
        <v>3234</v>
      </c>
      <c r="J30" s="85">
        <v>218</v>
      </c>
      <c r="K30" s="85">
        <v>276</v>
      </c>
      <c r="L30" s="85">
        <v>4</v>
      </c>
      <c r="M30" s="26">
        <v>191</v>
      </c>
      <c r="N30" s="26">
        <v>6</v>
      </c>
      <c r="O30" s="26">
        <v>0</v>
      </c>
      <c r="P30" s="26">
        <v>0</v>
      </c>
      <c r="Q30" s="26">
        <v>0</v>
      </c>
      <c r="R30" s="25">
        <f t="shared" si="0"/>
        <v>29036</v>
      </c>
      <c r="S30" s="78">
        <f>J30+K30+L30</f>
        <v>498</v>
      </c>
      <c r="T30" s="5">
        <f>S30/R30*100</f>
        <v>1.7151122744179639</v>
      </c>
      <c r="U30" s="6"/>
      <c r="V30" s="6"/>
      <c r="W30" s="6"/>
      <c r="X30" s="6"/>
      <c r="Y30" s="6"/>
      <c r="Z30" s="6"/>
      <c r="AA30" s="6"/>
      <c r="AB30" s="6"/>
      <c r="AC30" s="6"/>
    </row>
    <row r="31" spans="1:29" ht="17.25" customHeight="1" x14ac:dyDescent="0.35">
      <c r="A31" s="47"/>
      <c r="B31" s="100"/>
      <c r="C31" s="26"/>
      <c r="D31" s="79"/>
      <c r="E31" s="29"/>
      <c r="F31" s="98"/>
      <c r="G31" s="26"/>
      <c r="H31" s="26"/>
      <c r="I31" s="26"/>
      <c r="J31" s="85"/>
      <c r="K31" s="85"/>
      <c r="L31" s="85"/>
      <c r="M31" s="26"/>
      <c r="N31" s="26"/>
      <c r="O31" s="26"/>
      <c r="P31" s="26"/>
      <c r="Q31" s="26"/>
      <c r="R31" s="25"/>
      <c r="S31" s="78"/>
      <c r="T31" s="5"/>
      <c r="U31" s="6"/>
      <c r="V31" s="6"/>
      <c r="W31" s="6"/>
      <c r="X31" s="6"/>
      <c r="Y31" s="6"/>
      <c r="Z31" s="6"/>
      <c r="AA31" s="6"/>
      <c r="AB31" s="6"/>
      <c r="AC31" s="6"/>
    </row>
    <row r="32" spans="1:29" s="10" customFormat="1" ht="17.25" customHeight="1" x14ac:dyDescent="0.35">
      <c r="A32" s="48" t="s">
        <v>1</v>
      </c>
      <c r="B32" s="31">
        <f>SUM(B3:B30)</f>
        <v>586218</v>
      </c>
      <c r="C32" s="31">
        <f t="shared" ref="C32:S32" si="9">SUM(C3:C30)</f>
        <v>42</v>
      </c>
      <c r="D32" s="31">
        <f t="shared" si="9"/>
        <v>586176</v>
      </c>
      <c r="E32" s="31">
        <f t="shared" si="9"/>
        <v>6648</v>
      </c>
      <c r="F32" s="31">
        <f t="shared" si="9"/>
        <v>579528</v>
      </c>
      <c r="G32" s="31">
        <f t="shared" si="9"/>
        <v>436331</v>
      </c>
      <c r="H32" s="31">
        <f t="shared" si="9"/>
        <v>76622</v>
      </c>
      <c r="I32" s="31">
        <f t="shared" si="9"/>
        <v>53057</v>
      </c>
      <c r="J32" s="31">
        <f t="shared" si="9"/>
        <v>5045</v>
      </c>
      <c r="K32" s="31">
        <f t="shared" si="9"/>
        <v>4766</v>
      </c>
      <c r="L32" s="31">
        <f t="shared" si="9"/>
        <v>106</v>
      </c>
      <c r="M32" s="31">
        <f t="shared" si="9"/>
        <v>2856</v>
      </c>
      <c r="N32" s="31">
        <f t="shared" si="9"/>
        <v>225</v>
      </c>
      <c r="O32" s="31">
        <f t="shared" si="9"/>
        <v>123</v>
      </c>
      <c r="P32" s="31">
        <f t="shared" si="9"/>
        <v>0</v>
      </c>
      <c r="Q32" s="31">
        <f t="shared" si="9"/>
        <v>397</v>
      </c>
      <c r="R32" s="31">
        <f t="shared" si="9"/>
        <v>579528</v>
      </c>
      <c r="S32" s="31">
        <f t="shared" si="9"/>
        <v>9917</v>
      </c>
      <c r="T32" s="5">
        <f t="shared" si="6"/>
        <v>1.7112201653759613</v>
      </c>
      <c r="U32" s="77"/>
      <c r="V32" s="9"/>
      <c r="W32" s="9"/>
      <c r="X32" s="9"/>
      <c r="Y32" s="9"/>
      <c r="Z32" s="9"/>
      <c r="AA32" s="9"/>
      <c r="AB32" s="9"/>
      <c r="AC32" s="9"/>
    </row>
    <row r="33" spans="1:29" s="13" customFormat="1" ht="58" customHeight="1" x14ac:dyDescent="0.35">
      <c r="A33" s="49" t="s">
        <v>14</v>
      </c>
      <c r="B33" s="32"/>
      <c r="C33" s="33"/>
      <c r="D33" s="33"/>
      <c r="E33" s="34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11"/>
      <c r="U33" s="12"/>
      <c r="V33" s="12"/>
      <c r="W33" s="12"/>
      <c r="X33" s="12"/>
      <c r="Y33" s="12"/>
    </row>
    <row r="34" spans="1:29" s="2" customFormat="1" ht="31" customHeight="1" thickBot="1" x14ac:dyDescent="0.4">
      <c r="A34" s="94" t="s">
        <v>52</v>
      </c>
      <c r="B34" s="1"/>
      <c r="C34" s="22"/>
      <c r="D34" s="1"/>
      <c r="E34" s="1"/>
      <c r="F34" s="1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1:29" ht="30" customHeight="1" thickBot="1" x14ac:dyDescent="0.4">
      <c r="A35" s="50" t="s">
        <v>2</v>
      </c>
      <c r="B35" s="69">
        <v>1995</v>
      </c>
      <c r="C35" s="82">
        <v>1996</v>
      </c>
      <c r="D35" s="70">
        <v>1997</v>
      </c>
      <c r="E35" s="69">
        <v>1998</v>
      </c>
      <c r="F35" s="69">
        <v>1999</v>
      </c>
      <c r="G35" s="69">
        <v>2000</v>
      </c>
      <c r="H35" s="69">
        <v>2001</v>
      </c>
      <c r="I35" s="69">
        <v>2002</v>
      </c>
      <c r="J35" s="69">
        <v>2003</v>
      </c>
      <c r="K35" s="69">
        <v>2004</v>
      </c>
      <c r="L35" s="69">
        <v>2005</v>
      </c>
      <c r="M35" s="69">
        <v>2006</v>
      </c>
      <c r="N35" s="69">
        <v>2007</v>
      </c>
      <c r="O35" s="69">
        <v>2008</v>
      </c>
      <c r="P35" s="69">
        <v>2009</v>
      </c>
      <c r="Q35" s="69">
        <v>2010</v>
      </c>
      <c r="R35" s="69">
        <v>2011</v>
      </c>
      <c r="S35" s="71">
        <v>2012</v>
      </c>
      <c r="T35" s="72">
        <v>2013</v>
      </c>
      <c r="U35" s="69">
        <v>2014</v>
      </c>
      <c r="V35" s="71">
        <v>2015</v>
      </c>
      <c r="W35" s="73">
        <v>2016</v>
      </c>
      <c r="X35" s="74">
        <v>2017</v>
      </c>
      <c r="Y35" s="75">
        <v>2018</v>
      </c>
      <c r="Z35" s="76">
        <v>2019</v>
      </c>
      <c r="AA35" s="76">
        <v>2020</v>
      </c>
      <c r="AB35" s="76">
        <v>2021</v>
      </c>
      <c r="AC35" s="76">
        <v>2022</v>
      </c>
    </row>
    <row r="36" spans="1:29" ht="15" thickBot="1" x14ac:dyDescent="0.4">
      <c r="A36" s="51" t="s">
        <v>31</v>
      </c>
      <c r="B36" s="17">
        <f>9004/11778*100</f>
        <v>76.447614195958565</v>
      </c>
      <c r="C36" s="17">
        <f>G4/F4*100</f>
        <v>75.682991313105873</v>
      </c>
      <c r="D36" s="17">
        <f>15034/19846*100</f>
        <v>75.753300413181506</v>
      </c>
      <c r="E36" s="17">
        <f>12885/17104*100</f>
        <v>75.333255378858738</v>
      </c>
      <c r="F36" s="17">
        <f>12896/17755*100</f>
        <v>72.633061109546603</v>
      </c>
      <c r="G36" s="17">
        <f>11405/15125*100</f>
        <v>75.404958677685954</v>
      </c>
      <c r="H36" s="17">
        <f>13804/18232*100</f>
        <v>75.713032031592803</v>
      </c>
      <c r="I36" s="17">
        <f>15690/20858*100</f>
        <v>75.222936043724232</v>
      </c>
      <c r="J36" s="17">
        <f>16803/22324*100</f>
        <v>75.268769037806848</v>
      </c>
      <c r="K36" s="17">
        <f>16856/22304*100</f>
        <v>75.573888091822099</v>
      </c>
      <c r="L36" s="17">
        <f>17292/23249*100</f>
        <v>74.377392576024775</v>
      </c>
      <c r="M36" s="17">
        <f>17286/22933*100</f>
        <v>75.376095582784629</v>
      </c>
      <c r="N36" s="17">
        <f>19933/26333*100</f>
        <v>75.695894884745371</v>
      </c>
      <c r="O36" s="17">
        <f>20545/27310*100</f>
        <v>75.228853899670455</v>
      </c>
      <c r="P36" s="17">
        <f>15684/20901*100</f>
        <v>75.039471795607867</v>
      </c>
      <c r="Q36" s="17">
        <f>17529/23102*100</f>
        <v>75.876547485066226</v>
      </c>
      <c r="R36" s="17">
        <f>17015/22930*100</f>
        <v>74.204099433057138</v>
      </c>
      <c r="S36" s="17">
        <f>17791/23853*100</f>
        <v>74.586005953129586</v>
      </c>
      <c r="T36" s="18">
        <f>14280/19266*100</f>
        <v>74.120211772033642</v>
      </c>
      <c r="U36" s="15">
        <f>G22/F22*100</f>
        <v>74.862510674637065</v>
      </c>
      <c r="V36" s="16">
        <f>G23/F23*100</f>
        <v>75.976070528967256</v>
      </c>
      <c r="W36" s="18">
        <f>G24/F24*100</f>
        <v>75.100643365062652</v>
      </c>
      <c r="X36" s="105">
        <f>G25/R25*100</f>
        <v>75.704880492342923</v>
      </c>
      <c r="Y36" s="105">
        <f>G26/R26*100</f>
        <v>74.759871931696907</v>
      </c>
      <c r="Z36" s="105">
        <f>G27/R27*100</f>
        <v>75.951481058275476</v>
      </c>
      <c r="AA36" s="105">
        <f>G28/R28*100</f>
        <v>75.320035724918128</v>
      </c>
      <c r="AB36" s="106">
        <f>G29/R29*100</f>
        <v>73.406260054235418</v>
      </c>
      <c r="AC36" s="106">
        <f>G30/R30*100</f>
        <v>73.794599807135981</v>
      </c>
    </row>
    <row r="37" spans="1:29" ht="16" customHeight="1" thickBot="1" x14ac:dyDescent="0.4">
      <c r="A37" s="51" t="s">
        <v>41</v>
      </c>
      <c r="B37" s="17">
        <f>1492/11778*100</f>
        <v>12.667685515367635</v>
      </c>
      <c r="C37" s="17">
        <f>H4/F4*100</f>
        <v>12.860380208989048</v>
      </c>
      <c r="D37" s="17">
        <f>2609/19846*100</f>
        <v>13.146225939735967</v>
      </c>
      <c r="E37" s="17">
        <f>2307/17104*100</f>
        <v>13.488072965388213</v>
      </c>
      <c r="F37" s="17">
        <f>2275/17755*100</f>
        <v>12.813292030413967</v>
      </c>
      <c r="G37" s="17">
        <f>2014/15125*100</f>
        <v>13.315702479338842</v>
      </c>
      <c r="H37" s="17">
        <f>2427/18232*100</f>
        <v>13.311759543659498</v>
      </c>
      <c r="I37" s="17">
        <f>2897/20858*100</f>
        <v>13.889155240195608</v>
      </c>
      <c r="J37" s="17">
        <f>3068/22324*100</f>
        <v>13.743056799856657</v>
      </c>
      <c r="K37" s="17">
        <f>2929/22304*100</f>
        <v>13.132173601147775</v>
      </c>
      <c r="L37" s="17">
        <f>3210/23249*100</f>
        <v>13.807045464321046</v>
      </c>
      <c r="M37" s="17">
        <f>3057/22933*100</f>
        <v>13.330135612436228</v>
      </c>
      <c r="N37" s="17">
        <f>3465/26333*100</f>
        <v>13.158394410055823</v>
      </c>
      <c r="O37" s="17">
        <f>3690/27310*100</f>
        <v>13.51153423654339</v>
      </c>
      <c r="P37" s="17">
        <f>2797/20901*100</f>
        <v>13.382134826084876</v>
      </c>
      <c r="Q37" s="17">
        <f>2952/23102*100</f>
        <v>12.778114448965457</v>
      </c>
      <c r="R37" s="17">
        <f>3016/22930*100</f>
        <v>13.153074574792848</v>
      </c>
      <c r="S37" s="17">
        <f>3173/23853*100</f>
        <v>13.302309981972918</v>
      </c>
      <c r="T37" s="18">
        <f>2448/19266*100</f>
        <v>12.70632201806291</v>
      </c>
      <c r="U37" s="15">
        <f>H22/F22*100</f>
        <v>13.270708795900941</v>
      </c>
      <c r="V37" s="16">
        <f>H23/F23*100</f>
        <v>12.594458438287154</v>
      </c>
      <c r="W37" s="18">
        <f>H24/F24*100</f>
        <v>12.728093607735429</v>
      </c>
      <c r="X37" s="105">
        <f>H25/R25*100</f>
        <v>13.310433662516102</v>
      </c>
      <c r="Y37" s="105">
        <f>H26/R26*100</f>
        <v>13.438278192813947</v>
      </c>
      <c r="Z37" s="105">
        <f>H27/R27*100</f>
        <v>13.061439746857694</v>
      </c>
      <c r="AA37" s="105">
        <f>H28/R28*100</f>
        <v>13.654857596506897</v>
      </c>
      <c r="AB37" s="105">
        <f>H29/R29*100</f>
        <v>13.14059842809211</v>
      </c>
      <c r="AC37" s="106">
        <f>H30/R30*100</f>
        <v>12.673922027827524</v>
      </c>
    </row>
    <row r="38" spans="1:29" ht="15" thickBot="1" x14ac:dyDescent="0.4">
      <c r="A38" s="51" t="s">
        <v>25</v>
      </c>
      <c r="B38" s="17">
        <f>966/11778*100</f>
        <v>8.2017320427916456</v>
      </c>
      <c r="C38" s="17">
        <f>I4/F4*100</f>
        <v>8.8631499433463414</v>
      </c>
      <c r="D38" s="17">
        <f>1745/19846*100</f>
        <v>8.7927038194094536</v>
      </c>
      <c r="E38" s="17">
        <f>1415/17104*100</f>
        <v>8.2729186155285301</v>
      </c>
      <c r="F38" s="17">
        <f>1400/17755*100</f>
        <v>7.8851027879470568</v>
      </c>
      <c r="G38" s="17">
        <f>1266/15125*100</f>
        <v>8.370247933884297</v>
      </c>
      <c r="H38" s="17">
        <f>1525/18232*100</f>
        <v>8.3644142167617375</v>
      </c>
      <c r="I38" s="17">
        <f>1767/20858*100</f>
        <v>8.4715696615207605</v>
      </c>
      <c r="J38" s="17">
        <f>1938/22324*100</f>
        <v>8.6812399211610831</v>
      </c>
      <c r="K38" s="17">
        <f>2010/22304*100</f>
        <v>9.0118364418938306</v>
      </c>
      <c r="L38" s="17">
        <f>2163/23249*100</f>
        <v>9.3036259624069846</v>
      </c>
      <c r="M38" s="17">
        <f>2117/22933*100</f>
        <v>9.231238826145729</v>
      </c>
      <c r="N38" s="17">
        <f>2371/26333*100</f>
        <v>9.003911441916987</v>
      </c>
      <c r="O38" s="17">
        <f>2464/27310*100</f>
        <v>9.0223361406078357</v>
      </c>
      <c r="P38" s="17">
        <f>1947/20901*100</f>
        <v>9.3153437634562941</v>
      </c>
      <c r="Q38" s="17">
        <f>2085/23102*100</f>
        <v>9.0251926240152365</v>
      </c>
      <c r="R38" s="17">
        <f>1927/22930*100</f>
        <v>8.4038377671173148</v>
      </c>
      <c r="S38" s="17">
        <f>2261/23853*100</f>
        <v>9.4788915440405823</v>
      </c>
      <c r="T38" s="18">
        <f>1807/19266*100</f>
        <v>9.3792172739541151</v>
      </c>
      <c r="U38" s="15">
        <f>I22/F22*100</f>
        <v>9.7181895815542276</v>
      </c>
      <c r="V38" s="16">
        <f>I23/F23*100</f>
        <v>9.2608627204030221</v>
      </c>
      <c r="W38" s="18">
        <f>I24/F24*100</f>
        <v>8.954437713984726</v>
      </c>
      <c r="X38" s="105">
        <f>I25/R25*100</f>
        <v>8.9308716187204809</v>
      </c>
      <c r="Y38" s="105">
        <f>I26/R26*100</f>
        <v>9.4005691924581996</v>
      </c>
      <c r="Z38" s="105">
        <f>I27/R27*100</f>
        <v>8.2447042278280751</v>
      </c>
      <c r="AA38" s="105">
        <f>I28/R28*100</f>
        <v>8.3258906420561676</v>
      </c>
      <c r="AB38" s="106">
        <f>I29/R29*100</f>
        <v>11.210185227742796</v>
      </c>
      <c r="AC38" s="106">
        <f>I30/R30*100</f>
        <v>11.137897782063645</v>
      </c>
    </row>
    <row r="39" spans="1:29" s="104" customFormat="1" ht="15" thickBot="1" x14ac:dyDescent="0.4">
      <c r="A39" s="101" t="s">
        <v>26</v>
      </c>
      <c r="B39" s="93">
        <f>151/11778*100</f>
        <v>1.2820512820512819</v>
      </c>
      <c r="C39" s="93">
        <f>J4/F4*100</f>
        <v>1.0953040412942214</v>
      </c>
      <c r="D39" s="93">
        <f>186/19846*100</f>
        <v>0.93721656757029126</v>
      </c>
      <c r="E39" s="93">
        <f>215/17104*100</f>
        <v>1.2570159027128156</v>
      </c>
      <c r="F39" s="93">
        <f>164/17755*100</f>
        <v>0.92368346944522672</v>
      </c>
      <c r="G39" s="93">
        <f>195/15125*100</f>
        <v>1.2892561983471074</v>
      </c>
      <c r="H39" s="93">
        <f>205/18232*100</f>
        <v>1.1243966652040369</v>
      </c>
      <c r="I39" s="93">
        <f>195/20858*100</f>
        <v>0.93489308658548276</v>
      </c>
      <c r="J39" s="93">
        <f>172/22324*100</f>
        <v>0.77047124171295467</v>
      </c>
      <c r="K39" s="93">
        <f>219/22304*100</f>
        <v>0.98188665710186518</v>
      </c>
      <c r="L39" s="93">
        <f>177/23249*100</f>
        <v>0.76132306765882407</v>
      </c>
      <c r="M39" s="93">
        <f>182/22933*100</f>
        <v>0.79361618628177721</v>
      </c>
      <c r="N39" s="93">
        <f>214/26333*100</f>
        <v>0.81266851479132651</v>
      </c>
      <c r="O39" s="93">
        <f>225/27310*100</f>
        <v>0.82387403881362142</v>
      </c>
      <c r="P39" s="93">
        <f>162/20901*100</f>
        <v>0.77508253193627097</v>
      </c>
      <c r="Q39" s="93">
        <f>199/23102*100</f>
        <v>0.861397281620639</v>
      </c>
      <c r="R39" s="93">
        <f>171/22930*100</f>
        <v>0.74574792847797644</v>
      </c>
      <c r="S39" s="93">
        <f>172/23853*100</f>
        <v>0.72108330189074754</v>
      </c>
      <c r="T39" s="19">
        <f>148/19266*100</f>
        <v>0.7681926710266791</v>
      </c>
      <c r="U39" s="102">
        <f>J22/F22*100</f>
        <v>0.74807856532877881</v>
      </c>
      <c r="V39" s="103">
        <f>J23/F23*100</f>
        <v>0.72418136020151136</v>
      </c>
      <c r="W39" s="19">
        <f>J24/F24*100</f>
        <v>0.9330674592723579</v>
      </c>
      <c r="X39" s="19">
        <f>J25/R25*100</f>
        <v>0.71561471303849999</v>
      </c>
      <c r="Y39" s="19">
        <f>J26/R26*100</f>
        <v>0.88046958377801487</v>
      </c>
      <c r="Z39" s="19">
        <f>J27/R27*100</f>
        <v>0.9229146523688142</v>
      </c>
      <c r="AA39" s="19">
        <f>J28/R28*100</f>
        <v>1.0320531904336607</v>
      </c>
      <c r="AB39" s="93">
        <f>J29/R29*100</f>
        <v>0.71241439536700835</v>
      </c>
      <c r="AC39" s="93">
        <f>J30/R30*100</f>
        <v>0.75079212012673924</v>
      </c>
    </row>
    <row r="40" spans="1:29" s="104" customFormat="1" ht="15" thickBot="1" x14ac:dyDescent="0.4">
      <c r="A40" s="101" t="s">
        <v>32</v>
      </c>
      <c r="B40" s="93">
        <f>108/11778*100</f>
        <v>0.91696383087111566</v>
      </c>
      <c r="C40" s="93">
        <f>K4/F4*100</f>
        <v>0.96940702505350618</v>
      </c>
      <c r="D40" s="93">
        <f>152/19846*100</f>
        <v>0.76589741005744227</v>
      </c>
      <c r="E40" s="93">
        <f>154/17104*100</f>
        <v>0.90037418147801673</v>
      </c>
      <c r="F40" s="93">
        <f>131/17755*100</f>
        <v>0.73782033230076027</v>
      </c>
      <c r="G40" s="93">
        <f>127/15125*100</f>
        <v>0.83966942148760337</v>
      </c>
      <c r="H40" s="93">
        <f>143/18232*100</f>
        <v>0.78433523475208433</v>
      </c>
      <c r="I40" s="93">
        <f>170/20858*100</f>
        <v>0.81503499856170303</v>
      </c>
      <c r="J40" s="93">
        <f>192/22324*100</f>
        <v>0.8600609209819029</v>
      </c>
      <c r="K40" s="93">
        <f>174/22304*100</f>
        <v>0.78012912482065999</v>
      </c>
      <c r="L40" s="93">
        <f>187/23249*100</f>
        <v>0.80433567035141307</v>
      </c>
      <c r="M40" s="93">
        <f>180/22933*100</f>
        <v>0.78489512928966998</v>
      </c>
      <c r="N40" s="93">
        <f>199/26333*100</f>
        <v>0.75570576842744841</v>
      </c>
      <c r="O40" s="93">
        <f>229/27310*100</f>
        <v>0.83852068839253024</v>
      </c>
      <c r="P40" s="93">
        <f>171/20901*100</f>
        <v>0.81814267259939721</v>
      </c>
      <c r="Q40" s="93">
        <f>198/23102*100</f>
        <v>0.85706865206475624</v>
      </c>
      <c r="R40" s="93">
        <f>162/22930*100</f>
        <v>0.70649803750545137</v>
      </c>
      <c r="S40" s="93">
        <f>183/23853*100</f>
        <v>0.76719909445352785</v>
      </c>
      <c r="T40" s="19">
        <f>154/19266*100</f>
        <v>0.79933561714938228</v>
      </c>
      <c r="U40" s="102">
        <f>K22/F22*100</f>
        <v>0.79931682322801034</v>
      </c>
      <c r="V40" s="103">
        <f>K23/F23*100</f>
        <v>0.77928211586901763</v>
      </c>
      <c r="W40" s="19">
        <f>K24/F24*100</f>
        <v>0.77504797020203919</v>
      </c>
      <c r="X40" s="19">
        <f>K25/R25*100</f>
        <v>0.68699012451696007</v>
      </c>
      <c r="Y40" s="19">
        <f>K26/R26*100</f>
        <v>0.88046958377801487</v>
      </c>
      <c r="Z40" s="19">
        <f>K27/R27*100</f>
        <v>0.88775599894524038</v>
      </c>
      <c r="AA40" s="19">
        <f>K28/R28*100</f>
        <v>0.89312295325989877</v>
      </c>
      <c r="AB40" s="93">
        <f>K29/R29*100</f>
        <v>0.87328216206278442</v>
      </c>
      <c r="AC40" s="93">
        <f>K30/R30*100</f>
        <v>0.95054415208706433</v>
      </c>
    </row>
    <row r="41" spans="1:29" s="104" customFormat="1" ht="15" thickBot="1" x14ac:dyDescent="0.4">
      <c r="A41" s="101" t="s">
        <v>28</v>
      </c>
      <c r="B41" s="93">
        <v>0</v>
      </c>
      <c r="C41" s="93">
        <f>L4/F4*100</f>
        <v>1.258970162407151E-2</v>
      </c>
      <c r="D41" s="93">
        <f>1/19846*100</f>
        <v>5.0387987503779097E-3</v>
      </c>
      <c r="E41" s="93">
        <f>1/17104*100</f>
        <v>5.8465855940130962E-3</v>
      </c>
      <c r="F41" s="93">
        <f>2/17755*100</f>
        <v>1.1264432554210082E-2</v>
      </c>
      <c r="G41" s="93">
        <v>0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f>1/22933*100</f>
        <v>4.3605284960537213E-3</v>
      </c>
      <c r="N41" s="93">
        <f>5/26333*100</f>
        <v>1.8987582121292677E-2</v>
      </c>
      <c r="O41" s="93">
        <f>2/27310*100</f>
        <v>7.3233247894544124E-3</v>
      </c>
      <c r="P41" s="93">
        <f>3/20901*100</f>
        <v>1.4353380221042057E-2</v>
      </c>
      <c r="Q41" s="93">
        <f>1/23102*100</f>
        <v>4.3286295558826078E-3</v>
      </c>
      <c r="R41" s="93">
        <f>1/22930*100</f>
        <v>4.3610989969472304E-3</v>
      </c>
      <c r="S41" s="93">
        <f>20/23853*100</f>
        <v>8.3846895568691571E-2</v>
      </c>
      <c r="T41" s="19">
        <f>10/19266*100</f>
        <v>5.1904910204505342E-2</v>
      </c>
      <c r="U41" s="102">
        <f>L22/F22*100</f>
        <v>2.0495303159692568E-2</v>
      </c>
      <c r="V41" s="103">
        <f>L23/F23*100</f>
        <v>6.2972292191435769E-2</v>
      </c>
      <c r="W41" s="19">
        <f>L24/F24*100</f>
        <v>3.7623687873885397E-2</v>
      </c>
      <c r="X41" s="19">
        <f>L25/R25*100</f>
        <v>1.4312294260770001E-2</v>
      </c>
      <c r="Y41" s="19">
        <f>L26/R26*100</f>
        <v>3.557452863749555E-2</v>
      </c>
      <c r="Z41" s="19">
        <f>L27/R27*100</f>
        <v>1.7579326711786941E-2</v>
      </c>
      <c r="AA41" s="19">
        <f>L28/R28*100</f>
        <v>3.9694353478217724E-2</v>
      </c>
      <c r="AB41" s="93">
        <f>L29/R29*100</f>
        <v>2.7577331433561614E-2</v>
      </c>
      <c r="AC41" s="93">
        <f>L30/R30*100</f>
        <v>1.3776002204160353E-2</v>
      </c>
    </row>
    <row r="42" spans="1:29" ht="15" thickBot="1" x14ac:dyDescent="0.4">
      <c r="A42" s="51" t="s">
        <v>29</v>
      </c>
      <c r="B42" s="17">
        <f>51/11778*100</f>
        <v>0.43301069791136021</v>
      </c>
      <c r="C42" s="17">
        <f>M4/F4*100</f>
        <v>0.51617776658693193</v>
      </c>
      <c r="D42" s="17">
        <f>114/19846*100</f>
        <v>0.57442305754308176</v>
      </c>
      <c r="E42" s="17">
        <f>107/17104*100</f>
        <v>0.62558465855940137</v>
      </c>
      <c r="F42" s="17">
        <f>70/17755*100</f>
        <v>0.39425513939735291</v>
      </c>
      <c r="G42" s="17">
        <f>96/15125*100</f>
        <v>0.63471074380165282</v>
      </c>
      <c r="H42" s="17">
        <f>100/18232*100</f>
        <v>0.54848617814831058</v>
      </c>
      <c r="I42" s="17">
        <f>97/20858*100</f>
        <v>0.46504938153226577</v>
      </c>
      <c r="J42" s="17">
        <f>99/22324*100</f>
        <v>0.44346891238129366</v>
      </c>
      <c r="K42" s="17">
        <f>101/22304*100</f>
        <v>0.45283357245337158</v>
      </c>
      <c r="L42" s="17">
        <f>133/23249*100</f>
        <v>0.57206761581143273</v>
      </c>
      <c r="M42" s="17">
        <f>88/22933*100</f>
        <v>0.38372650765272753</v>
      </c>
      <c r="N42" s="17">
        <f>106/26333*100</f>
        <v>0.40253674097140468</v>
      </c>
      <c r="O42" s="17">
        <f>124/27310*100</f>
        <v>0.45404613694617357</v>
      </c>
      <c r="P42" s="17">
        <f>63/20901*100</f>
        <v>0.30142098464188316</v>
      </c>
      <c r="Q42" s="17">
        <f>100/23102*100</f>
        <v>0.43286295558826077</v>
      </c>
      <c r="R42" s="17">
        <f>110/22930*100</f>
        <v>0.4797208896641954</v>
      </c>
      <c r="S42" s="17">
        <f>121/23853*100</f>
        <v>0.50727371819058398</v>
      </c>
      <c r="T42" s="18">
        <f>88/19266*100</f>
        <v>0.45676320979964707</v>
      </c>
      <c r="U42" s="15">
        <f>M22/F22*100</f>
        <v>0.43040136635354398</v>
      </c>
      <c r="V42" s="16">
        <f>M23/F23*100</f>
        <v>0.57462216624685147</v>
      </c>
      <c r="W42" s="18">
        <f>M24/F24*100</f>
        <v>0.53801873659656119</v>
      </c>
      <c r="X42" s="105">
        <f>M25/R25*100</f>
        <v>0.4508372692142551</v>
      </c>
      <c r="Y42" s="105">
        <f>M26/R26*100</f>
        <v>0.40910707933119889</v>
      </c>
      <c r="Z42" s="105">
        <f>M27/R27*100</f>
        <v>0.45706249450646041</v>
      </c>
      <c r="AA42" s="105">
        <f>M28/R28*100</f>
        <v>0.55572094869504818</v>
      </c>
      <c r="AB42" s="106">
        <f>M29/R29*100</f>
        <v>0.58831640391598106</v>
      </c>
      <c r="AC42" s="106">
        <f>M30/R30*100</f>
        <v>0.65780410524865685</v>
      </c>
    </row>
    <row r="43" spans="1:29" ht="15" thickBot="1" x14ac:dyDescent="0.4">
      <c r="A43" s="51" t="s">
        <v>30</v>
      </c>
      <c r="B43" s="17">
        <v>0</v>
      </c>
      <c r="C43" s="17">
        <f>N4/F4*100</f>
        <v>0</v>
      </c>
      <c r="D43" s="17">
        <f>1/19846*100</f>
        <v>5.0387987503779097E-3</v>
      </c>
      <c r="E43" s="17">
        <f>1/17104*100</f>
        <v>5.8465855940130962E-3</v>
      </c>
      <c r="F43" s="17">
        <f>6/17755*100</f>
        <v>3.3793297662630242E-2</v>
      </c>
      <c r="G43" s="17">
        <f>1/15125*100</f>
        <v>6.6115702479338841E-3</v>
      </c>
      <c r="H43" s="17">
        <v>0</v>
      </c>
      <c r="I43" s="17">
        <f>7/20858*100</f>
        <v>3.3560264646658358E-2</v>
      </c>
      <c r="J43" s="17">
        <f>2/22324*100</f>
        <v>8.9589679268948213E-3</v>
      </c>
      <c r="K43" s="17">
        <v>0</v>
      </c>
      <c r="L43" s="17">
        <v>0</v>
      </c>
      <c r="M43" s="17">
        <f>3/22933*100</f>
        <v>1.3081585488161166E-2</v>
      </c>
      <c r="N43" s="17">
        <f>8/26333*100</f>
        <v>3.0380131394068279E-2</v>
      </c>
      <c r="O43" s="17">
        <f>7/27310*100</f>
        <v>2.5631636763090444E-2</v>
      </c>
      <c r="P43" s="17">
        <f>9/20901*100</f>
        <v>4.3060140663126169E-2</v>
      </c>
      <c r="Q43" s="17">
        <f>3/23102*100</f>
        <v>1.2985888667647823E-2</v>
      </c>
      <c r="R43" s="17">
        <f>10/22930*100</f>
        <v>4.3610989969472311E-2</v>
      </c>
      <c r="S43" s="17">
        <f>8/23853*100</f>
        <v>3.3538758227476623E-2</v>
      </c>
      <c r="T43" s="18">
        <f>3/19266*100</f>
        <v>1.5571473061351605E-2</v>
      </c>
      <c r="U43" s="15">
        <f>N22/F22*100</f>
        <v>1.3663535439795047E-2</v>
      </c>
      <c r="V43" s="16">
        <f>N23/F23*100</f>
        <v>2.7550377833753151E-2</v>
      </c>
      <c r="W43" s="18">
        <f>N24/F24*100</f>
        <v>8.2772113322547872E-2</v>
      </c>
      <c r="X43" s="105">
        <f>N25/R25*100</f>
        <v>0.10018605982539</v>
      </c>
      <c r="Y43" s="105">
        <f>N26/R26*100</f>
        <v>0.19565990750622553</v>
      </c>
      <c r="Z43" s="105">
        <f>N27/R27*100</f>
        <v>0.44827283115056693</v>
      </c>
      <c r="AA43" s="105">
        <f>N28/R28*100</f>
        <v>0.16870100228242532</v>
      </c>
      <c r="AB43" s="106">
        <f>N29/R29*100</f>
        <v>4.1365997150342421E-2</v>
      </c>
      <c r="AC43" s="106">
        <f>N30/R30*100</f>
        <v>2.066400330624053E-2</v>
      </c>
    </row>
    <row r="44" spans="1:29" ht="15" thickBot="1" x14ac:dyDescent="0.4">
      <c r="A44" s="52" t="s">
        <v>42</v>
      </c>
      <c r="B44" s="17">
        <v>0</v>
      </c>
      <c r="C44" s="17">
        <f>P4/F4*100</f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f>14/22930*100</f>
        <v>6.1055385957261232E-2</v>
      </c>
      <c r="S44" s="17">
        <f>58/23853*100</f>
        <v>0.24315599714920555</v>
      </c>
      <c r="T44" s="17">
        <f>206/19266*100</f>
        <v>1.0692411502128101</v>
      </c>
      <c r="U44" s="17">
        <v>0</v>
      </c>
      <c r="V44" s="17">
        <v>0</v>
      </c>
      <c r="W44" s="17">
        <v>0</v>
      </c>
      <c r="X44" s="106">
        <v>0</v>
      </c>
      <c r="Y44" s="106">
        <v>0</v>
      </c>
      <c r="Z44" s="106">
        <v>0</v>
      </c>
      <c r="AA44" s="106">
        <v>0</v>
      </c>
      <c r="AB44" s="106"/>
      <c r="AC44" s="106"/>
    </row>
    <row r="45" spans="1:29" ht="15" thickBot="1" x14ac:dyDescent="0.4">
      <c r="A45" s="52" t="s">
        <v>44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>
        <f>O22/F22*100</f>
        <v>7.8565328778821525E-2</v>
      </c>
      <c r="V45" s="17"/>
      <c r="W45" s="17">
        <f>O24/F24*100</f>
        <v>1.8811843936942699E-2</v>
      </c>
      <c r="X45" s="106">
        <f>O25/R25*100</f>
        <v>4.2936882782310004E-2</v>
      </c>
      <c r="Y45" s="106">
        <f>O26/R26*100</f>
        <v>0</v>
      </c>
      <c r="Z45" s="106">
        <f>O27/R27*100</f>
        <v>0</v>
      </c>
      <c r="AA45" s="106">
        <f>O28/R28*100</f>
        <v>9.923588369554431E-3</v>
      </c>
      <c r="AB45" s="106"/>
      <c r="AC45" s="106"/>
    </row>
    <row r="46" spans="1:29" ht="14" customHeight="1" thickBot="1" x14ac:dyDescent="0.4">
      <c r="A46" s="52" t="s">
        <v>43</v>
      </c>
      <c r="B46" s="17">
        <v>0</v>
      </c>
      <c r="C46" s="17">
        <f>E4/F4*100</f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f>5/20858*100</f>
        <v>2.3971617604755972E-2</v>
      </c>
      <c r="J46" s="17">
        <f>5/22324*100</f>
        <v>2.2397419817237054E-2</v>
      </c>
      <c r="K46" s="17">
        <f>1/22304*100</f>
        <v>4.4835007173601154E-3</v>
      </c>
      <c r="L46" s="17">
        <f>8/23249*100</f>
        <v>3.4410082154071146E-2</v>
      </c>
      <c r="M46" s="17">
        <f>4/22933*100</f>
        <v>1.7442113984214885E-2</v>
      </c>
      <c r="N46" s="17">
        <f>9/26333*100</f>
        <v>3.4177647818326815E-2</v>
      </c>
      <c r="O46" s="17">
        <f>9/27310*100</f>
        <v>3.2954961552544855E-2</v>
      </c>
      <c r="P46" s="17">
        <f>9/20901*100</f>
        <v>4.3060140663126169E-2</v>
      </c>
      <c r="Q46" s="17">
        <f>14/23102*100</f>
        <v>6.0600813782356509E-2</v>
      </c>
      <c r="R46" s="17">
        <f>3/22930*100</f>
        <v>1.3083296990841693E-2</v>
      </c>
      <c r="S46" s="17">
        <f>7/23853*100</f>
        <v>2.9346413449042048E-2</v>
      </c>
      <c r="T46" s="17">
        <f>7/19266*100</f>
        <v>3.6333437143153742E-2</v>
      </c>
      <c r="U46" s="17">
        <f>P22/F22*100</f>
        <v>0</v>
      </c>
      <c r="V46" s="17">
        <f>P23/F23*100</f>
        <v>0</v>
      </c>
      <c r="W46" s="17">
        <f>P24/F24*100</f>
        <v>0</v>
      </c>
      <c r="X46" s="106">
        <f>P25/R25*100</f>
        <v>0</v>
      </c>
      <c r="Y46" s="106">
        <f>P26/R26*100</f>
        <v>0</v>
      </c>
      <c r="Z46" s="106">
        <f>P27/R27*100</f>
        <v>0</v>
      </c>
      <c r="AA46" s="106">
        <f>P28/R28*100</f>
        <v>0</v>
      </c>
      <c r="AB46" s="106"/>
      <c r="AC46" s="106"/>
    </row>
    <row r="47" spans="1:29" ht="15" thickBot="1" x14ac:dyDescent="0.4">
      <c r="A47" s="52" t="s">
        <v>6</v>
      </c>
      <c r="B47" s="17">
        <f>6/11778*100</f>
        <v>5.094243504839531E-2</v>
      </c>
      <c r="C47" s="17">
        <f>C4/F4*100</f>
        <v>0</v>
      </c>
      <c r="D47" s="17">
        <f>4/19846*100</f>
        <v>2.0155195001511639E-2</v>
      </c>
      <c r="E47" s="17">
        <f>19/17104*100</f>
        <v>0.11108512628624882</v>
      </c>
      <c r="F47" s="17">
        <f>810/17755*100</f>
        <v>4.5620951844550834</v>
      </c>
      <c r="G47" s="17">
        <f>21/15125*100</f>
        <v>0.13884297520661157</v>
      </c>
      <c r="H47" s="17">
        <f>28/18232*100</f>
        <v>0.153576129881527</v>
      </c>
      <c r="I47" s="17">
        <f>26/20858*100</f>
        <v>0.12465241154473103</v>
      </c>
      <c r="J47" s="17">
        <f>36/22324*100</f>
        <v>0.16126142268410679</v>
      </c>
      <c r="K47" s="17">
        <f>12/22304*100</f>
        <v>5.3802008608321378E-2</v>
      </c>
      <c r="L47" s="17">
        <f>73/23249*100</f>
        <v>0.31399199965589919</v>
      </c>
      <c r="M47" s="17">
        <f>6/22933*100</f>
        <v>2.6163170976322331E-2</v>
      </c>
      <c r="N47" s="17">
        <f>5/26333*100</f>
        <v>1.8987582121292677E-2</v>
      </c>
      <c r="O47" s="17">
        <f>5/27310*100</f>
        <v>1.8308311973636034E-2</v>
      </c>
      <c r="P47" s="17">
        <f>39/20901*100</f>
        <v>0.18659394287354672</v>
      </c>
      <c r="Q47" s="17">
        <f>14/23102*100</f>
        <v>6.0600813782356509E-2</v>
      </c>
      <c r="R47" s="17">
        <f>488/22930*100</f>
        <v>2.1282163105102487</v>
      </c>
      <c r="S47" s="17">
        <f>23/23853*100</f>
        <v>9.6423929903995301E-2</v>
      </c>
      <c r="T47" s="17">
        <f>72/19266*100</f>
        <v>0.37371535347243851</v>
      </c>
      <c r="U47" s="17">
        <f>E22/F22*100</f>
        <v>0</v>
      </c>
      <c r="V47" s="17">
        <f>E23/F23*100</f>
        <v>0</v>
      </c>
      <c r="W47" s="17">
        <f>E24/F24*100</f>
        <v>0</v>
      </c>
      <c r="X47" s="106">
        <v>0</v>
      </c>
      <c r="Y47" s="106">
        <v>0</v>
      </c>
      <c r="Z47" s="106">
        <v>0</v>
      </c>
      <c r="AA47" s="106"/>
      <c r="AB47" s="106"/>
      <c r="AC47" s="106"/>
    </row>
    <row r="48" spans="1:29" ht="15" thickBot="1" x14ac:dyDescent="0.4">
      <c r="A48" s="51" t="s">
        <v>0</v>
      </c>
      <c r="B48" s="17">
        <v>0</v>
      </c>
      <c r="C48" s="17" t="s">
        <v>47</v>
      </c>
      <c r="D48" s="17">
        <v>0</v>
      </c>
      <c r="E48" s="17">
        <v>0</v>
      </c>
      <c r="F48" s="17">
        <f>1/17755*100</f>
        <v>5.632216277105041E-3</v>
      </c>
      <c r="G48" s="17">
        <v>0</v>
      </c>
      <c r="H48" s="17">
        <v>0</v>
      </c>
      <c r="I48" s="17">
        <f>4/20858*100</f>
        <v>1.9177294083804777E-2</v>
      </c>
      <c r="J48" s="17">
        <f>9/22324*100</f>
        <v>4.0315355671026697E-2</v>
      </c>
      <c r="K48" s="17">
        <f>2/22304*100</f>
        <v>8.9670014347202308E-3</v>
      </c>
      <c r="L48" s="17">
        <f>6/23249*100</f>
        <v>2.5807561615553358E-2</v>
      </c>
      <c r="M48" s="17">
        <f>9/22933*100</f>
        <v>3.9244756464483492E-2</v>
      </c>
      <c r="N48" s="17">
        <f>18/26333*100</f>
        <v>6.8355295636653629E-2</v>
      </c>
      <c r="O48" s="17">
        <f>10/27310*100</f>
        <v>3.6616623947272067E-2</v>
      </c>
      <c r="P48" s="17">
        <f>17/20901*100</f>
        <v>8.1335821252571647E-2</v>
      </c>
      <c r="Q48" s="17">
        <f>7/23102*100</f>
        <v>3.0300406891178255E-2</v>
      </c>
      <c r="R48" s="17">
        <f>13/22930*100</f>
        <v>5.6694286960313998E-2</v>
      </c>
      <c r="S48" s="17">
        <f>36/23853*100</f>
        <v>0.15092441202364482</v>
      </c>
      <c r="T48" s="17">
        <f>39/19266*100</f>
        <v>0.20242914979757085</v>
      </c>
      <c r="U48" s="17">
        <f>Q22/F22*100</f>
        <v>5.8070025619128954E-2</v>
      </c>
      <c r="V48" s="17">
        <f>C23/F23*100</f>
        <v>0</v>
      </c>
      <c r="W48" s="17">
        <f>Q24/F24*100</f>
        <v>0.83148350201286725</v>
      </c>
      <c r="X48" s="106">
        <f>Q25/R25*100</f>
        <v>4.2936882782310004E-2</v>
      </c>
      <c r="Y48" s="106">
        <f>Q26/R26*100</f>
        <v>0</v>
      </c>
      <c r="Z48" s="106">
        <f>Q27/R27*100</f>
        <v>8.7896633558934706E-3</v>
      </c>
      <c r="AA48" s="106">
        <f>Q28/R28*100</f>
        <v>0</v>
      </c>
      <c r="AB48" s="106"/>
      <c r="AC48" s="106"/>
    </row>
    <row r="49" spans="1:29" ht="15" thickBot="1" x14ac:dyDescent="0.4">
      <c r="A49" s="53" t="s">
        <v>5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f>4/19266*100</f>
        <v>2.0761964081802139E-2</v>
      </c>
      <c r="U49" s="17"/>
      <c r="V49" s="17"/>
      <c r="W49" s="106">
        <v>0</v>
      </c>
      <c r="X49" s="106">
        <v>0</v>
      </c>
      <c r="Y49" s="106">
        <v>0</v>
      </c>
      <c r="Z49" s="106">
        <v>0</v>
      </c>
      <c r="AA49" s="106"/>
      <c r="AB49" s="106"/>
      <c r="AC49" s="106"/>
    </row>
    <row r="50" spans="1:29" ht="15" thickBot="1" x14ac:dyDescent="0.4">
      <c r="A50" s="55" t="s">
        <v>48</v>
      </c>
      <c r="B50" s="17">
        <f t="shared" ref="B50:AC50" si="10">SUM(B36:B49)</f>
        <v>100</v>
      </c>
      <c r="C50" s="17">
        <f t="shared" si="10"/>
        <v>99.999999999999986</v>
      </c>
      <c r="D50" s="17">
        <f t="shared" si="10"/>
        <v>100.00000000000001</v>
      </c>
      <c r="E50" s="17">
        <f t="shared" si="10"/>
        <v>99.999999999999986</v>
      </c>
      <c r="F50" s="17">
        <f t="shared" si="10"/>
        <v>100</v>
      </c>
      <c r="G50" s="17">
        <f t="shared" si="10"/>
        <v>100</v>
      </c>
      <c r="H50" s="17">
        <f t="shared" si="10"/>
        <v>99.999999999999972</v>
      </c>
      <c r="I50" s="17">
        <f t="shared" si="10"/>
        <v>100</v>
      </c>
      <c r="J50" s="17">
        <f t="shared" si="10"/>
        <v>100.00000000000001</v>
      </c>
      <c r="K50" s="17">
        <f t="shared" si="10"/>
        <v>100</v>
      </c>
      <c r="L50" s="17">
        <f t="shared" si="10"/>
        <v>99.999999999999986</v>
      </c>
      <c r="M50" s="17">
        <f t="shared" si="10"/>
        <v>99.999999999999986</v>
      </c>
      <c r="N50" s="17">
        <f t="shared" si="10"/>
        <v>99.999999999999986</v>
      </c>
      <c r="O50" s="17">
        <f t="shared" si="10"/>
        <v>100.00000000000003</v>
      </c>
      <c r="P50" s="17">
        <f t="shared" si="10"/>
        <v>100</v>
      </c>
      <c r="Q50" s="17">
        <f t="shared" si="10"/>
        <v>99.999999999999986</v>
      </c>
      <c r="R50" s="17">
        <f t="shared" si="10"/>
        <v>100.00000000000001</v>
      </c>
      <c r="S50" s="17">
        <f t="shared" si="10"/>
        <v>100</v>
      </c>
      <c r="T50" s="17">
        <f t="shared" si="10"/>
        <v>99.999999999999986</v>
      </c>
      <c r="U50" s="17">
        <f t="shared" si="10"/>
        <v>100.00000000000001</v>
      </c>
      <c r="V50" s="17">
        <f t="shared" si="10"/>
        <v>100</v>
      </c>
      <c r="W50" s="17">
        <f t="shared" si="10"/>
        <v>100.00000000000001</v>
      </c>
      <c r="X50" s="17">
        <f t="shared" si="10"/>
        <v>100.00000000000003</v>
      </c>
      <c r="Y50" s="17">
        <f t="shared" si="10"/>
        <v>99.999999999999972</v>
      </c>
      <c r="Z50" s="17">
        <f t="shared" si="10"/>
        <v>100.00000000000001</v>
      </c>
      <c r="AA50" s="17">
        <f t="shared" si="10"/>
        <v>100</v>
      </c>
      <c r="AB50" s="17">
        <f t="shared" si="10"/>
        <v>99.999999999999986</v>
      </c>
      <c r="AC50" s="17">
        <f t="shared" si="10"/>
        <v>100</v>
      </c>
    </row>
    <row r="51" spans="1:29" x14ac:dyDescent="0.35">
      <c r="A51" s="54" t="s">
        <v>7</v>
      </c>
      <c r="B51" s="17"/>
      <c r="C51" s="83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1:29" ht="33" customHeight="1" x14ac:dyDescent="0.35">
      <c r="A52" s="111" t="s">
        <v>53</v>
      </c>
      <c r="B52" s="112"/>
      <c r="C52"/>
    </row>
    <row r="53" spans="1:29" ht="29.5" thickBot="1" x14ac:dyDescent="0.4">
      <c r="A53" s="56" t="s">
        <v>15</v>
      </c>
      <c r="B53" s="35">
        <f>B32</f>
        <v>586218</v>
      </c>
      <c r="C53"/>
    </row>
    <row r="54" spans="1:29" ht="29.5" thickBot="1" x14ac:dyDescent="0.4">
      <c r="A54" s="57" t="s">
        <v>9</v>
      </c>
      <c r="B54" s="35">
        <f>C32</f>
        <v>42</v>
      </c>
      <c r="C54"/>
    </row>
    <row r="55" spans="1:29" ht="29.5" thickBot="1" x14ac:dyDescent="0.4">
      <c r="A55" s="58" t="s">
        <v>11</v>
      </c>
      <c r="B55" s="35">
        <f>D32</f>
        <v>586176</v>
      </c>
      <c r="C55"/>
    </row>
    <row r="56" spans="1:29" ht="26.5" thickBot="1" x14ac:dyDescent="0.4">
      <c r="A56" s="59" t="s">
        <v>13</v>
      </c>
      <c r="B56" s="36">
        <f>E32</f>
        <v>6648</v>
      </c>
      <c r="C56"/>
    </row>
    <row r="57" spans="1:29" ht="15" thickBot="1" x14ac:dyDescent="0.4">
      <c r="A57" s="60" t="s">
        <v>10</v>
      </c>
      <c r="B57" s="37">
        <f>F32</f>
        <v>579528</v>
      </c>
      <c r="C57"/>
    </row>
    <row r="58" spans="1:29" s="20" customFormat="1" ht="15" thickBot="1" x14ac:dyDescent="0.4">
      <c r="A58" s="61"/>
      <c r="B58" s="38"/>
      <c r="C58" s="39"/>
    </row>
    <row r="59" spans="1:29" ht="15" thickBot="1" x14ac:dyDescent="0.4">
      <c r="A59" s="62" t="s">
        <v>49</v>
      </c>
      <c r="B59" s="40" t="s">
        <v>3</v>
      </c>
      <c r="C59" s="41" t="s">
        <v>4</v>
      </c>
    </row>
    <row r="60" spans="1:29" ht="15" thickBot="1" x14ac:dyDescent="0.4">
      <c r="A60" s="63" t="s">
        <v>31</v>
      </c>
      <c r="B60" s="42">
        <f>G32</f>
        <v>436331</v>
      </c>
      <c r="C60" s="80">
        <f>B60/B70*100</f>
        <v>75.290753854861194</v>
      </c>
    </row>
    <row r="61" spans="1:29" ht="15" thickBot="1" x14ac:dyDescent="0.4">
      <c r="A61" s="64" t="s">
        <v>24</v>
      </c>
      <c r="B61" s="43">
        <f>H32</f>
        <v>76622</v>
      </c>
      <c r="C61" s="81">
        <f>B61/B70*100</f>
        <v>13.221449179332145</v>
      </c>
    </row>
    <row r="62" spans="1:29" ht="15" thickBot="1" x14ac:dyDescent="0.4">
      <c r="A62" s="64" t="s">
        <v>25</v>
      </c>
      <c r="B62" s="43">
        <f>I32</f>
        <v>53057</v>
      </c>
      <c r="C62" s="81">
        <f>B62/B70*100</f>
        <v>9.1552090666887533</v>
      </c>
    </row>
    <row r="63" spans="1:29" ht="15" thickBot="1" x14ac:dyDescent="0.4">
      <c r="A63" s="95" t="s">
        <v>26</v>
      </c>
      <c r="B63" s="96">
        <f>J32</f>
        <v>5045</v>
      </c>
      <c r="C63" s="97">
        <f>B63/B70*100</f>
        <v>0.8705360224182439</v>
      </c>
    </row>
    <row r="64" spans="1:29" ht="15" thickBot="1" x14ac:dyDescent="0.4">
      <c r="A64" s="95" t="s">
        <v>32</v>
      </c>
      <c r="B64" s="96">
        <f>K32</f>
        <v>4766</v>
      </c>
      <c r="C64" s="97">
        <f>B64/B70*100</f>
        <v>0.82239339600502481</v>
      </c>
    </row>
    <row r="65" spans="1:3" ht="15" thickBot="1" x14ac:dyDescent="0.4">
      <c r="A65" s="95" t="s">
        <v>28</v>
      </c>
      <c r="B65" s="96">
        <f>L32</f>
        <v>106</v>
      </c>
      <c r="C65" s="97">
        <f>B65/B70*100</f>
        <v>1.8290746952692536E-2</v>
      </c>
    </row>
    <row r="66" spans="1:3" ht="15" thickBot="1" x14ac:dyDescent="0.4">
      <c r="A66" s="64" t="s">
        <v>29</v>
      </c>
      <c r="B66" s="43">
        <f>M32</f>
        <v>2856</v>
      </c>
      <c r="C66" s="81">
        <f>B66/B70*100</f>
        <v>0.4928148424234895</v>
      </c>
    </row>
    <row r="67" spans="1:3" ht="15" thickBot="1" x14ac:dyDescent="0.4">
      <c r="A67" s="64" t="s">
        <v>30</v>
      </c>
      <c r="B67" s="43">
        <f>N32</f>
        <v>225</v>
      </c>
      <c r="C67" s="81">
        <f>B67/B70*100</f>
        <v>3.8824698720337926E-2</v>
      </c>
    </row>
    <row r="68" spans="1:3" ht="52" customHeight="1" thickBot="1" x14ac:dyDescent="0.4">
      <c r="A68" s="65" t="s">
        <v>16</v>
      </c>
      <c r="B68" s="43">
        <f>O32</f>
        <v>123</v>
      </c>
      <c r="C68" s="81">
        <f>B68/B70*100</f>
        <v>2.1224168633784735E-2</v>
      </c>
    </row>
    <row r="69" spans="1:3" ht="15" thickBot="1" x14ac:dyDescent="0.4">
      <c r="A69" s="64" t="s">
        <v>0</v>
      </c>
      <c r="B69" s="43">
        <f>Q32</f>
        <v>397</v>
      </c>
      <c r="C69" s="81">
        <f>B69/B70*100</f>
        <v>6.8504023964329586E-2</v>
      </c>
    </row>
    <row r="70" spans="1:3" ht="15" thickBot="1" x14ac:dyDescent="0.4">
      <c r="A70" s="66" t="s">
        <v>12</v>
      </c>
      <c r="B70" s="43">
        <f>SUM(B60:B69)</f>
        <v>579528</v>
      </c>
      <c r="C70" s="81">
        <f>SUM(C60:C69)</f>
        <v>99.999999999999972</v>
      </c>
    </row>
    <row r="71" spans="1:3" x14ac:dyDescent="0.35">
      <c r="A71" s="67"/>
      <c r="B71" s="28"/>
      <c r="C71" s="28"/>
    </row>
    <row r="72" spans="1:3" x14ac:dyDescent="0.35">
      <c r="A72" s="92" t="s">
        <v>35</v>
      </c>
      <c r="B72" s="8"/>
      <c r="C72" s="28"/>
    </row>
    <row r="73" spans="1:3" ht="15" customHeight="1" x14ac:dyDescent="0.35">
      <c r="A73" s="67" t="s">
        <v>36</v>
      </c>
      <c r="B73" s="8"/>
      <c r="C73" s="28"/>
    </row>
    <row r="74" spans="1:3" x14ac:dyDescent="0.35">
      <c r="A74" s="67" t="s">
        <v>18</v>
      </c>
      <c r="B74" s="8"/>
      <c r="C74" s="28"/>
    </row>
    <row r="75" spans="1:3" x14ac:dyDescent="0.35">
      <c r="A75" s="67" t="s">
        <v>19</v>
      </c>
      <c r="B75" s="8"/>
      <c r="C75" s="28"/>
    </row>
    <row r="76" spans="1:3" x14ac:dyDescent="0.35">
      <c r="A76" s="67" t="s">
        <v>20</v>
      </c>
      <c r="B76" s="8"/>
      <c r="C76" s="28"/>
    </row>
    <row r="77" spans="1:3" x14ac:dyDescent="0.35">
      <c r="A77" s="67" t="s">
        <v>21</v>
      </c>
      <c r="B77" s="8"/>
      <c r="C77" s="28"/>
    </row>
    <row r="78" spans="1:3" x14ac:dyDescent="0.35">
      <c r="A78" s="68" t="s">
        <v>23</v>
      </c>
      <c r="B78" s="21"/>
      <c r="C78" s="44"/>
    </row>
    <row r="79" spans="1:3" x14ac:dyDescent="0.35">
      <c r="A79" s="68" t="s">
        <v>33</v>
      </c>
      <c r="B79" s="21"/>
      <c r="C79" s="44"/>
    </row>
    <row r="80" spans="1:3" x14ac:dyDescent="0.35">
      <c r="A80" s="68" t="s">
        <v>34</v>
      </c>
      <c r="B80" s="21"/>
      <c r="C80" s="44"/>
    </row>
  </sheetData>
  <mergeCells count="2">
    <mergeCell ref="B1:T1"/>
    <mergeCell ref="A52:B5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NBS Results 1995-2022 June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</dc:creator>
  <cp:lastModifiedBy>Augustine Asubonteng</cp:lastModifiedBy>
  <dcterms:created xsi:type="dcterms:W3CDTF">2014-04-17T09:43:27Z</dcterms:created>
  <dcterms:modified xsi:type="dcterms:W3CDTF">2026-06-04T10:02:20Z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2023-05-10T11:28:02Z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7b4a34b4-1b7b-4860-969f-dcce84c26310</vt:lpwstr>
  </property>
  <property fmtid="{D5CDD505-2E9C-101B-9397-08002B2CF9AE}" pid="7" name="MSIP_Label_defa4170-0d19-0005-0004-bc88714345d2_ActionId">
    <vt:lpwstr>c0b57306-6dff-43f4-96cf-86945757c6f3</vt:lpwstr>
  </property>
  <property fmtid="{D5CDD505-2E9C-101B-9397-08002B2CF9AE}" pid="8" name="MSIP_Label_defa4170-0d19-0005-0004-bc88714345d2_ContentBits">
    <vt:lpwstr>0</vt:lpwstr>
  </property>
</Properties>
</file>